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W:\GATES FII PROJECT FOLDERS\GATES FII WAVES 4 - 6 2016-2019\ASIA\INDONESIA GATES-16-1-INDO-QNT\codebook\"/>
    </mc:Choice>
  </mc:AlternateContent>
  <bookViews>
    <workbookView xWindow="0" yWindow="0" windowWidth="23145" windowHeight="10665" tabRatio="701"/>
  </bookViews>
  <sheets>
    <sheet name="Codebook" sheetId="1" r:id="rId1"/>
    <sheet name="Other" sheetId="40" r:id="rId2"/>
    <sheet name="vFB30&amp;31&amp;32" sheetId="95" r:id="rId3"/>
    <sheet name="brand name" sheetId="11" r:id="rId4"/>
    <sheet name="vFL9" sheetId="93" r:id="rId5"/>
    <sheet name="vIFI24" sheetId="92" r:id="rId6"/>
    <sheet name="vIFI21" sheetId="91" r:id="rId7"/>
    <sheet name="vDG4" sheetId="57" r:id="rId8"/>
    <sheet name="vDG14" sheetId="41" r:id="rId9"/>
    <sheet name="vDL1" sheetId="42" r:id="rId10"/>
    <sheet name="vDL2" sheetId="2" r:id="rId11"/>
    <sheet name="vDL4&amp;5" sheetId="5" r:id="rId12"/>
    <sheet name="vDL12" sheetId="8" r:id="rId13"/>
    <sheet name="vDL26&amp;27" sheetId="44" r:id="rId14"/>
    <sheet name="vDL28" sheetId="45" r:id="rId15"/>
    <sheet name="vG2P2" sheetId="58" r:id="rId16"/>
    <sheet name="vMT9" sheetId="46" r:id="rId17"/>
    <sheet name="vMT13" sheetId="9" r:id="rId18"/>
    <sheet name="vFF2A" sheetId="87" r:id="rId19"/>
    <sheet name="vFF3" sheetId="4" r:id="rId20"/>
    <sheet name="FF14&amp;16" sheetId="10" r:id="rId21"/>
    <sheet name="vMM12" sheetId="66" r:id="rId22"/>
    <sheet name="vMM13" sheetId="67" r:id="rId23"/>
    <sheet name="vMM14" sheetId="68" r:id="rId24"/>
    <sheet name="MM15&amp;IFI" sheetId="69" r:id="rId25"/>
    <sheet name="vMM18&amp;19" sheetId="70" r:id="rId26"/>
    <sheet name="vMM20" sheetId="89" r:id="rId27"/>
    <sheet name="MM22" sheetId="71" r:id="rId28"/>
    <sheet name="vMM34" sheetId="73" r:id="rId29"/>
    <sheet name="vIFI16" sheetId="74" r:id="rId30"/>
    <sheet name="vFL4" sheetId="77" r:id="rId31"/>
    <sheet name="vFL11" sheetId="78" r:id="rId32"/>
    <sheet name="vfl10" sheetId="79" r:id="rId33"/>
    <sheet name="vFB19" sheetId="80" r:id="rId34"/>
    <sheet name="vFB20&amp;21" sheetId="81" r:id="rId35"/>
    <sheet name="vFB24&amp;25" sheetId="82" r:id="rId36"/>
    <sheet name="LN2" sheetId="83" r:id="rId37"/>
  </sheets>
  <definedNames>
    <definedName name="_xlnm._FilterDatabase" localSheetId="0" hidden="1">Codebook!$A$3:$I$1285</definedName>
  </definedNames>
  <calcPr calcId="162913"/>
</workbook>
</file>

<file path=xl/calcChain.xml><?xml version="1.0" encoding="utf-8"?>
<calcChain xmlns="http://schemas.openxmlformats.org/spreadsheetml/2006/main">
  <c r="B626" i="1" l="1"/>
  <c r="B627" i="1"/>
  <c r="B605" i="1"/>
  <c r="B606" i="1"/>
  <c r="B607" i="1"/>
  <c r="B608" i="1"/>
  <c r="B609" i="1"/>
  <c r="B610" i="1"/>
  <c r="B611" i="1"/>
  <c r="B612" i="1"/>
  <c r="B613" i="1"/>
  <c r="B614" i="1"/>
  <c r="B615" i="1"/>
  <c r="B616" i="1"/>
  <c r="B617" i="1"/>
  <c r="B618" i="1"/>
  <c r="B619" i="1"/>
  <c r="B620" i="1"/>
  <c r="B621" i="1"/>
  <c r="B622" i="1"/>
  <c r="B623" i="1"/>
  <c r="B624" i="1"/>
  <c r="B625" i="1"/>
  <c r="B604" i="1"/>
  <c r="B480" i="1" l="1"/>
  <c r="I440" i="1"/>
  <c r="I441" i="1"/>
  <c r="I442" i="1"/>
  <c r="I443" i="1"/>
  <c r="I444" i="1"/>
  <c r="I445" i="1"/>
  <c r="I446" i="1"/>
  <c r="I447" i="1"/>
  <c r="I448" i="1"/>
  <c r="I449" i="1"/>
  <c r="I450" i="1"/>
  <c r="I432" i="1"/>
  <c r="I433" i="1"/>
  <c r="I434" i="1"/>
  <c r="I435" i="1"/>
  <c r="I436" i="1"/>
  <c r="I437" i="1"/>
  <c r="I438" i="1"/>
  <c r="I439" i="1"/>
  <c r="I426" i="1"/>
  <c r="I427" i="1"/>
  <c r="I428" i="1"/>
  <c r="I429" i="1"/>
  <c r="I430" i="1"/>
  <c r="I431" i="1"/>
  <c r="I423" i="1"/>
  <c r="I424" i="1"/>
  <c r="I425" i="1"/>
  <c r="I419" i="1"/>
  <c r="I420" i="1"/>
  <c r="I421" i="1"/>
  <c r="I422" i="1"/>
  <c r="I413" i="1"/>
  <c r="I414" i="1"/>
  <c r="I415" i="1"/>
  <c r="I416" i="1"/>
  <c r="I417" i="1"/>
  <c r="I418" i="1"/>
  <c r="I406" i="1"/>
  <c r="I407" i="1"/>
  <c r="I408" i="1"/>
  <c r="I409" i="1"/>
  <c r="I410" i="1"/>
  <c r="I411" i="1"/>
  <c r="I412" i="1"/>
  <c r="I395" i="1"/>
  <c r="I396" i="1"/>
  <c r="I397" i="1"/>
  <c r="I398" i="1"/>
  <c r="I399" i="1"/>
  <c r="I400" i="1"/>
  <c r="I401" i="1"/>
  <c r="I402" i="1"/>
  <c r="I403" i="1"/>
  <c r="I404" i="1"/>
  <c r="I405" i="1"/>
  <c r="I383" i="1"/>
  <c r="I384" i="1"/>
  <c r="I385" i="1"/>
  <c r="I386" i="1"/>
  <c r="I387" i="1"/>
  <c r="I388" i="1"/>
  <c r="I389" i="1"/>
  <c r="I390" i="1"/>
  <c r="I391" i="1"/>
  <c r="I392" i="1"/>
  <c r="I393" i="1"/>
  <c r="I394" i="1"/>
  <c r="I382" i="1"/>
  <c r="I375" i="1"/>
  <c r="I376" i="1"/>
  <c r="I377" i="1"/>
  <c r="I367" i="1"/>
  <c r="I368" i="1"/>
  <c r="I369" i="1"/>
  <c r="I370" i="1"/>
  <c r="I371" i="1"/>
  <c r="I372" i="1"/>
  <c r="I373" i="1"/>
  <c r="I374" i="1"/>
  <c r="I362" i="1"/>
  <c r="I363" i="1"/>
  <c r="I364" i="1"/>
  <c r="I365" i="1"/>
  <c r="I366" i="1"/>
  <c r="I356" i="1"/>
  <c r="I357" i="1"/>
  <c r="I358" i="1"/>
  <c r="I359" i="1"/>
  <c r="I360" i="1"/>
  <c r="I361" i="1"/>
  <c r="I350" i="1"/>
  <c r="I351" i="1"/>
  <c r="I352" i="1"/>
  <c r="I353" i="1"/>
  <c r="I354" i="1"/>
  <c r="I355" i="1"/>
  <c r="I347" i="1"/>
  <c r="I348" i="1"/>
  <c r="I349" i="1"/>
  <c r="I344" i="1"/>
  <c r="I345" i="1"/>
  <c r="I346" i="1"/>
  <c r="I329" i="1"/>
  <c r="I330" i="1"/>
  <c r="I331" i="1"/>
  <c r="I332" i="1"/>
  <c r="I333" i="1"/>
  <c r="I334" i="1"/>
  <c r="I335" i="1"/>
  <c r="I336" i="1"/>
  <c r="I337" i="1"/>
  <c r="I338" i="1"/>
  <c r="I339" i="1"/>
  <c r="I340" i="1"/>
  <c r="I341" i="1"/>
  <c r="I342" i="1"/>
  <c r="I343" i="1"/>
  <c r="I319" i="1"/>
  <c r="I320" i="1"/>
  <c r="I321" i="1"/>
  <c r="I322" i="1"/>
  <c r="I323" i="1"/>
  <c r="I324" i="1"/>
  <c r="I325" i="1"/>
  <c r="I326" i="1"/>
  <c r="I327" i="1"/>
  <c r="I328" i="1"/>
  <c r="I308" i="1"/>
  <c r="I309" i="1"/>
  <c r="I310" i="1"/>
  <c r="I311" i="1"/>
  <c r="I312" i="1"/>
  <c r="I313" i="1"/>
  <c r="I314" i="1"/>
  <c r="I315" i="1"/>
  <c r="I316" i="1"/>
  <c r="I317" i="1"/>
  <c r="I318" i="1"/>
  <c r="I296" i="1"/>
  <c r="I297" i="1"/>
  <c r="I298" i="1"/>
  <c r="I299" i="1"/>
  <c r="I300" i="1"/>
  <c r="I301" i="1"/>
  <c r="I302" i="1"/>
  <c r="I303" i="1"/>
  <c r="I304" i="1"/>
  <c r="I305" i="1"/>
  <c r="I306" i="1"/>
  <c r="I307" i="1"/>
  <c r="I295"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47" i="1"/>
  <c r="I242" i="1"/>
  <c r="I243" i="1"/>
  <c r="I244" i="1"/>
  <c r="I236" i="1"/>
  <c r="I237" i="1"/>
  <c r="I238" i="1"/>
  <c r="I239" i="1"/>
  <c r="I240" i="1"/>
  <c r="I241" i="1"/>
  <c r="I217" i="1"/>
  <c r="I218" i="1"/>
  <c r="I219" i="1"/>
  <c r="I220" i="1"/>
  <c r="I221" i="1"/>
  <c r="I222" i="1"/>
  <c r="I223" i="1"/>
  <c r="I224" i="1"/>
  <c r="I225" i="1"/>
  <c r="I226" i="1"/>
  <c r="I227" i="1"/>
  <c r="I228" i="1"/>
  <c r="I229" i="1"/>
  <c r="I230" i="1"/>
  <c r="I231" i="1"/>
  <c r="I232" i="1"/>
  <c r="I233" i="1"/>
  <c r="I234" i="1"/>
  <c r="I235" i="1"/>
  <c r="I201" i="1"/>
  <c r="I202" i="1"/>
  <c r="I203" i="1"/>
  <c r="I204" i="1"/>
  <c r="I205" i="1"/>
  <c r="I206" i="1"/>
  <c r="I207" i="1"/>
  <c r="I208" i="1"/>
  <c r="I209" i="1"/>
  <c r="I210" i="1"/>
  <c r="I211" i="1"/>
  <c r="I212" i="1"/>
  <c r="I213" i="1"/>
  <c r="I214" i="1"/>
  <c r="I215" i="1"/>
  <c r="I216" i="1"/>
  <c r="I200" i="1"/>
  <c r="I179" i="1"/>
  <c r="I180" i="1"/>
  <c r="I181" i="1"/>
  <c r="I182" i="1"/>
  <c r="I183" i="1"/>
  <c r="I184" i="1"/>
  <c r="I185" i="1"/>
  <c r="I186" i="1"/>
  <c r="I178" i="1"/>
  <c r="I166" i="1"/>
  <c r="I167" i="1"/>
  <c r="I168" i="1"/>
  <c r="I169" i="1"/>
  <c r="I170" i="1"/>
  <c r="I171" i="1"/>
  <c r="I151" i="1"/>
  <c r="I152" i="1"/>
  <c r="I153" i="1"/>
  <c r="I154" i="1"/>
  <c r="I155" i="1"/>
  <c r="I156" i="1"/>
  <c r="I157" i="1"/>
  <c r="I158" i="1"/>
  <c r="I159" i="1"/>
  <c r="I160" i="1"/>
  <c r="I161" i="1"/>
  <c r="I162" i="1"/>
  <c r="I163" i="1"/>
  <c r="I164" i="1"/>
  <c r="I165" i="1"/>
  <c r="I150" i="1"/>
  <c r="I139" i="1"/>
  <c r="I140" i="1"/>
  <c r="I141" i="1"/>
  <c r="I142" i="1"/>
  <c r="I143" i="1"/>
  <c r="I144" i="1"/>
  <c r="I145" i="1"/>
  <c r="I126" i="1"/>
  <c r="I127" i="1"/>
  <c r="I128" i="1"/>
  <c r="I129" i="1"/>
  <c r="I130" i="1"/>
  <c r="I131" i="1"/>
  <c r="I132" i="1"/>
  <c r="I133" i="1"/>
  <c r="I134" i="1"/>
  <c r="I135" i="1"/>
  <c r="I136" i="1"/>
  <c r="I137" i="1"/>
  <c r="I138" i="1"/>
  <c r="I125" i="1"/>
  <c r="I102" i="1"/>
  <c r="I103" i="1"/>
  <c r="I104" i="1"/>
  <c r="I105" i="1"/>
  <c r="I106" i="1"/>
  <c r="I80" i="1"/>
  <c r="I81" i="1"/>
  <c r="I82" i="1"/>
  <c r="I83" i="1"/>
  <c r="I84" i="1"/>
  <c r="I85" i="1"/>
  <c r="I86" i="1"/>
  <c r="I87" i="1"/>
  <c r="I88" i="1"/>
  <c r="I89" i="1"/>
  <c r="I90" i="1"/>
  <c r="I91" i="1"/>
  <c r="I92" i="1"/>
  <c r="I93" i="1"/>
  <c r="I94" i="1"/>
  <c r="I95" i="1"/>
  <c r="I96" i="1"/>
  <c r="I97" i="1"/>
  <c r="I98" i="1"/>
  <c r="I99" i="1"/>
  <c r="I100" i="1"/>
  <c r="I101" i="1"/>
  <c r="I79" i="1"/>
  <c r="I65" i="1"/>
  <c r="I66" i="1"/>
  <c r="I67" i="1"/>
  <c r="I68" i="1"/>
  <c r="I69" i="1"/>
  <c r="I70" i="1"/>
  <c r="I71" i="1"/>
  <c r="I64" i="1"/>
  <c r="I1151" i="1"/>
  <c r="I1149" i="1"/>
  <c r="I1150" i="1"/>
  <c r="B602" i="1"/>
  <c r="B1037" i="1"/>
  <c r="B1140" i="1"/>
  <c r="B345" i="1"/>
  <c r="B346" i="1"/>
  <c r="B347" i="1"/>
  <c r="B348" i="1"/>
  <c r="B349" i="1"/>
  <c r="B350" i="1"/>
  <c r="B351" i="1"/>
  <c r="B352" i="1"/>
  <c r="B353" i="1"/>
  <c r="B354" i="1"/>
  <c r="B355" i="1"/>
  <c r="B356" i="1"/>
  <c r="B357" i="1"/>
  <c r="B358" i="1"/>
  <c r="B359" i="1"/>
  <c r="B360" i="1"/>
  <c r="B361" i="1"/>
  <c r="B362" i="1"/>
  <c r="B363" i="1"/>
  <c r="B364" i="1"/>
  <c r="B365" i="1"/>
  <c r="B366" i="1"/>
  <c r="B367" i="1"/>
  <c r="B344" i="1"/>
  <c r="B150" i="1"/>
  <c r="B249" i="1"/>
  <c r="B226" i="1"/>
  <c r="B227" i="1"/>
  <c r="B228" i="1"/>
  <c r="B229" i="1"/>
  <c r="B230" i="1"/>
  <c r="B231" i="1"/>
  <c r="B232" i="1"/>
  <c r="B225" i="1"/>
  <c r="I697" i="1"/>
  <c r="B697" i="1"/>
  <c r="B571" i="1"/>
  <c r="B572" i="1"/>
  <c r="B573" i="1"/>
  <c r="B574" i="1"/>
  <c r="B575" i="1"/>
  <c r="B576" i="1"/>
  <c r="B570" i="1"/>
  <c r="I576" i="1"/>
  <c r="I575" i="1"/>
  <c r="I574" i="1"/>
  <c r="I573" i="1"/>
  <c r="I572" i="1"/>
  <c r="I571" i="1"/>
  <c r="I570" i="1"/>
  <c r="I477" i="1"/>
  <c r="B477" i="1"/>
  <c r="I465" i="1"/>
  <c r="B465" i="1"/>
  <c r="I453" i="1"/>
  <c r="H477" i="1"/>
  <c r="B453" i="1"/>
  <c r="B441" i="1"/>
  <c r="B429" i="1"/>
  <c r="B417" i="1"/>
  <c r="B416" i="1"/>
  <c r="B405" i="1"/>
  <c r="H405" i="1"/>
  <c r="B393" i="1"/>
  <c r="H417" i="1"/>
  <c r="H453" i="1"/>
  <c r="H428" i="1"/>
  <c r="H440" i="1"/>
  <c r="B166" i="1"/>
  <c r="B167" i="1"/>
  <c r="B168" i="1"/>
  <c r="B169" i="1"/>
  <c r="B170" i="1"/>
  <c r="B171" i="1"/>
  <c r="B165" i="1"/>
  <c r="B159" i="1"/>
  <c r="B160" i="1"/>
  <c r="B161" i="1"/>
  <c r="B162" i="1"/>
  <c r="B163" i="1"/>
  <c r="B164" i="1"/>
  <c r="B158" i="1"/>
  <c r="B151" i="1"/>
  <c r="B152" i="1"/>
  <c r="B153" i="1"/>
  <c r="B154" i="1"/>
  <c r="B155" i="1"/>
  <c r="B156" i="1"/>
  <c r="B157" i="1"/>
  <c r="F5" i="1"/>
  <c r="I992" i="1"/>
  <c r="B64" i="1"/>
  <c r="B1183" i="1"/>
  <c r="B59" i="1"/>
  <c r="B58" i="1"/>
  <c r="B57" i="1"/>
  <c r="B56" i="1"/>
  <c r="B55" i="1"/>
  <c r="B54" i="1"/>
  <c r="B1213" i="1"/>
  <c r="B12" i="1"/>
  <c r="B106" i="1"/>
  <c r="G5" i="1"/>
  <c r="G6" i="1"/>
  <c r="B259" i="1"/>
  <c r="I781" i="1"/>
  <c r="H792" i="1"/>
  <c r="I778" i="1"/>
  <c r="H789" i="1"/>
  <c r="I775" i="1"/>
  <c r="H786" i="1"/>
  <c r="I772" i="1"/>
  <c r="B1029" i="1"/>
  <c r="H346" i="1"/>
  <c r="B223" i="1"/>
  <c r="B224" i="1"/>
  <c r="B222" i="1"/>
  <c r="B221" i="1"/>
  <c r="B216" i="1"/>
  <c r="B215" i="1"/>
  <c r="B214" i="1"/>
  <c r="I694" i="1"/>
  <c r="I693" i="1"/>
  <c r="B291" i="1"/>
  <c r="B208" i="1"/>
  <c r="B207" i="1"/>
  <c r="B206" i="1"/>
  <c r="B205" i="1"/>
  <c r="B648" i="1"/>
  <c r="B638" i="1"/>
  <c r="B952" i="1"/>
  <c r="B629" i="1"/>
  <c r="B843" i="1"/>
  <c r="B844" i="1"/>
  <c r="B845" i="1"/>
  <c r="B842" i="1"/>
  <c r="B839" i="1"/>
  <c r="B840" i="1"/>
  <c r="B841" i="1"/>
  <c r="B838" i="1"/>
  <c r="B835" i="1"/>
  <c r="B836" i="1"/>
  <c r="B837" i="1"/>
  <c r="B834" i="1"/>
  <c r="B831" i="1"/>
  <c r="B832" i="1"/>
  <c r="B833" i="1"/>
  <c r="B830" i="1"/>
  <c r="I793" i="1"/>
  <c r="I794" i="1"/>
  <c r="B787" i="1"/>
  <c r="I776" i="1"/>
  <c r="H787" i="1"/>
  <c r="I787" i="1"/>
  <c r="B788" i="1"/>
  <c r="I777" i="1"/>
  <c r="H788" i="1"/>
  <c r="I788" i="1"/>
  <c r="B789" i="1"/>
  <c r="I786" i="1"/>
  <c r="I789" i="1"/>
  <c r="B790" i="1"/>
  <c r="I779" i="1"/>
  <c r="H790" i="1"/>
  <c r="I790" i="1"/>
  <c r="B791" i="1"/>
  <c r="I780" i="1"/>
  <c r="H791" i="1"/>
  <c r="I791" i="1"/>
  <c r="B792" i="1"/>
  <c r="I792" i="1"/>
  <c r="B793" i="1"/>
  <c r="I782" i="1"/>
  <c r="H793" i="1"/>
  <c r="B794" i="1"/>
  <c r="I783" i="1"/>
  <c r="H794" i="1"/>
  <c r="I757" i="1"/>
  <c r="H779" i="1"/>
  <c r="I758" i="1"/>
  <c r="H769" i="1"/>
  <c r="I759" i="1"/>
  <c r="H781" i="1"/>
  <c r="I760" i="1"/>
  <c r="H782" i="1"/>
  <c r="I761" i="1"/>
  <c r="H783" i="1"/>
  <c r="I752" i="1"/>
  <c r="H763" i="1"/>
  <c r="I753" i="1"/>
  <c r="H775" i="1"/>
  <c r="I754" i="1"/>
  <c r="H776" i="1"/>
  <c r="I755" i="1"/>
  <c r="H777" i="1"/>
  <c r="I756" i="1"/>
  <c r="H778" i="1"/>
  <c r="I771" i="1"/>
  <c r="B771" i="1"/>
  <c r="B772" i="1"/>
  <c r="B764" i="1"/>
  <c r="I764" i="1"/>
  <c r="B765" i="1"/>
  <c r="I765" i="1"/>
  <c r="B766" i="1"/>
  <c r="I766" i="1"/>
  <c r="B767" i="1"/>
  <c r="I767" i="1"/>
  <c r="B768" i="1"/>
  <c r="I768" i="1"/>
  <c r="B769" i="1"/>
  <c r="I763" i="1"/>
  <c r="I769" i="1"/>
  <c r="B770" i="1"/>
  <c r="I770" i="1"/>
  <c r="B775" i="1"/>
  <c r="B776" i="1"/>
  <c r="B777" i="1"/>
  <c r="B778" i="1"/>
  <c r="B779" i="1"/>
  <c r="B780" i="1"/>
  <c r="B781" i="1"/>
  <c r="B782" i="1"/>
  <c r="I773" i="1"/>
  <c r="H784" i="1"/>
  <c r="B783" i="1"/>
  <c r="B774" i="1"/>
  <c r="B759" i="1"/>
  <c r="B760" i="1"/>
  <c r="B761" i="1"/>
  <c r="B758" i="1"/>
  <c r="B752" i="1"/>
  <c r="B753" i="1"/>
  <c r="B754" i="1"/>
  <c r="B755" i="1"/>
  <c r="B756" i="1"/>
  <c r="B757" i="1"/>
  <c r="B751" i="1"/>
  <c r="I991" i="1"/>
  <c r="B991" i="1"/>
  <c r="I979" i="1"/>
  <c r="B979" i="1"/>
  <c r="I970" i="1"/>
  <c r="I952" i="1"/>
  <c r="B970" i="1"/>
  <c r="I961" i="1"/>
  <c r="B961" i="1"/>
  <c r="B1212" i="1"/>
  <c r="B927" i="1"/>
  <c r="B928" i="1"/>
  <c r="B929" i="1"/>
  <c r="B930" i="1"/>
  <c r="B931" i="1"/>
  <c r="B932" i="1"/>
  <c r="B933" i="1"/>
  <c r="B934" i="1"/>
  <c r="B935" i="1"/>
  <c r="B936" i="1"/>
  <c r="B937" i="1"/>
  <c r="B938" i="1"/>
  <c r="B939" i="1"/>
  <c r="B940" i="1"/>
  <c r="B941" i="1"/>
  <c r="B919" i="1"/>
  <c r="B920" i="1"/>
  <c r="B921" i="1"/>
  <c r="B922" i="1"/>
  <c r="B923" i="1"/>
  <c r="B924" i="1"/>
  <c r="B925" i="1"/>
  <c r="B926" i="1"/>
  <c r="B918" i="1"/>
  <c r="B895" i="1"/>
  <c r="B896" i="1"/>
  <c r="B897" i="1"/>
  <c r="B898" i="1"/>
  <c r="B899" i="1"/>
  <c r="B900" i="1"/>
  <c r="B901" i="1"/>
  <c r="B902" i="1"/>
  <c r="B903" i="1"/>
  <c r="B904" i="1"/>
  <c r="B905" i="1"/>
  <c r="B906" i="1"/>
  <c r="B907" i="1"/>
  <c r="B908" i="1"/>
  <c r="B909" i="1"/>
  <c r="B910" i="1"/>
  <c r="B911" i="1"/>
  <c r="B912" i="1"/>
  <c r="B913" i="1"/>
  <c r="B914" i="1"/>
  <c r="B915" i="1"/>
  <c r="B916" i="1"/>
  <c r="B917" i="1"/>
  <c r="B894" i="1"/>
  <c r="B885" i="1"/>
  <c r="B886" i="1"/>
  <c r="B887" i="1"/>
  <c r="B888" i="1"/>
  <c r="B889" i="1"/>
  <c r="B890" i="1"/>
  <c r="B891" i="1"/>
  <c r="B892" i="1"/>
  <c r="B893" i="1"/>
  <c r="I1192" i="1"/>
  <c r="B878" i="1"/>
  <c r="B879" i="1"/>
  <c r="B880" i="1"/>
  <c r="B881" i="1"/>
  <c r="B882" i="1"/>
  <c r="B883" i="1"/>
  <c r="B884" i="1"/>
  <c r="I1191" i="1"/>
  <c r="B876" i="1"/>
  <c r="B877" i="1"/>
  <c r="B871" i="1"/>
  <c r="B872" i="1"/>
  <c r="B873" i="1"/>
  <c r="B874" i="1"/>
  <c r="B875" i="1"/>
  <c r="B870" i="1"/>
  <c r="B1192" i="1"/>
  <c r="B1191" i="1"/>
  <c r="I1184" i="1"/>
  <c r="I1185" i="1"/>
  <c r="I1186" i="1"/>
  <c r="I1187" i="1"/>
  <c r="I1188" i="1"/>
  <c r="I1189" i="1"/>
  <c r="I1190" i="1"/>
  <c r="B1184" i="1"/>
  <c r="B1185" i="1"/>
  <c r="B1186" i="1"/>
  <c r="B1187" i="1"/>
  <c r="B1188" i="1"/>
  <c r="B1189" i="1"/>
  <c r="B1190" i="1"/>
  <c r="B859" i="1"/>
  <c r="B860" i="1"/>
  <c r="B861" i="1"/>
  <c r="B862" i="1"/>
  <c r="B863" i="1"/>
  <c r="B864" i="1"/>
  <c r="B865" i="1"/>
  <c r="B866" i="1"/>
  <c r="B867" i="1"/>
  <c r="B868" i="1"/>
  <c r="B869" i="1"/>
  <c r="B855" i="1"/>
  <c r="B856" i="1"/>
  <c r="B857" i="1"/>
  <c r="B858" i="1"/>
  <c r="B849" i="1"/>
  <c r="B850" i="1"/>
  <c r="B851" i="1"/>
  <c r="B852" i="1"/>
  <c r="B853" i="1"/>
  <c r="B854" i="1"/>
  <c r="B848" i="1"/>
  <c r="B847" i="1"/>
  <c r="I1183" i="1"/>
  <c r="B846" i="1"/>
  <c r="B1180" i="1"/>
  <c r="B1170" i="1"/>
  <c r="B1171" i="1"/>
  <c r="B1168" i="1"/>
  <c r="B1169" i="1"/>
  <c r="B1166" i="1"/>
  <c r="B1167" i="1"/>
  <c r="B1164" i="1"/>
  <c r="B1165" i="1"/>
  <c r="B1158" i="1"/>
  <c r="B1159" i="1"/>
  <c r="B1160" i="1"/>
  <c r="B1161" i="1"/>
  <c r="B1162" i="1"/>
  <c r="B1156" i="1"/>
  <c r="B1157" i="1"/>
  <c r="B1155" i="1"/>
  <c r="B1149" i="1"/>
  <c r="B1150" i="1"/>
  <c r="B1151" i="1"/>
  <c r="B1134" i="1"/>
  <c r="B1135" i="1"/>
  <c r="B1136" i="1"/>
  <c r="B1137" i="1"/>
  <c r="B1133" i="1"/>
  <c r="B1132" i="1"/>
  <c r="B1130" i="1"/>
  <c r="B1131" i="1"/>
  <c r="B1123" i="1"/>
  <c r="B1124" i="1"/>
  <c r="B1125" i="1"/>
  <c r="B1126" i="1"/>
  <c r="B1127" i="1"/>
  <c r="B1128" i="1"/>
  <c r="B1129" i="1"/>
  <c r="B1122" i="1"/>
  <c r="I1070" i="1"/>
  <c r="H1102" i="1"/>
  <c r="I1102" i="1"/>
  <c r="I1071" i="1"/>
  <c r="H1103" i="1"/>
  <c r="I1103" i="1"/>
  <c r="B1100" i="1"/>
  <c r="B1101" i="1"/>
  <c r="B1102" i="1"/>
  <c r="B1103" i="1"/>
  <c r="B1098" i="1"/>
  <c r="B1099" i="1"/>
  <c r="B1089" i="1"/>
  <c r="B1090" i="1"/>
  <c r="B1091" i="1"/>
  <c r="B1092" i="1"/>
  <c r="B1093" i="1"/>
  <c r="B1094" i="1"/>
  <c r="B1095" i="1"/>
  <c r="B1096" i="1"/>
  <c r="B1097" i="1"/>
  <c r="B1088" i="1"/>
  <c r="I1069" i="1"/>
  <c r="H1085" i="1"/>
  <c r="I1085" i="1"/>
  <c r="I1086" i="1"/>
  <c r="I1087" i="1"/>
  <c r="B1085" i="1"/>
  <c r="B1086" i="1"/>
  <c r="B1087" i="1"/>
  <c r="B1073" i="1"/>
  <c r="B1074" i="1"/>
  <c r="B1075" i="1"/>
  <c r="B1076" i="1"/>
  <c r="B1077" i="1"/>
  <c r="B1078" i="1"/>
  <c r="B1079" i="1"/>
  <c r="B1080" i="1"/>
  <c r="B1081" i="1"/>
  <c r="B1082" i="1"/>
  <c r="B1083" i="1"/>
  <c r="B1084" i="1"/>
  <c r="B1072" i="1"/>
  <c r="B1068" i="1"/>
  <c r="B1069" i="1"/>
  <c r="B1070" i="1"/>
  <c r="B1071" i="1"/>
  <c r="B1057" i="1"/>
  <c r="B1058" i="1"/>
  <c r="B1059" i="1"/>
  <c r="B1060" i="1"/>
  <c r="B1061" i="1"/>
  <c r="B1062" i="1"/>
  <c r="B1063" i="1"/>
  <c r="B1064" i="1"/>
  <c r="B1065" i="1"/>
  <c r="B1066" i="1"/>
  <c r="B1067" i="1"/>
  <c r="B1056" i="1"/>
  <c r="B1039" i="1"/>
  <c r="B1034" i="1"/>
  <c r="B1033" i="1"/>
  <c r="B1014" i="1"/>
  <c r="B1015" i="1"/>
  <c r="B1016" i="1"/>
  <c r="B1017" i="1"/>
  <c r="B1018" i="1"/>
  <c r="B1013" i="1"/>
  <c r="B1008" i="1"/>
  <c r="B1007" i="1"/>
  <c r="B825" i="1"/>
  <c r="B824" i="1"/>
  <c r="B823" i="1"/>
  <c r="B822" i="1"/>
  <c r="I823" i="1"/>
  <c r="I822" i="1"/>
  <c r="B799" i="1"/>
  <c r="B698" i="1"/>
  <c r="I698" i="1"/>
  <c r="B699" i="1"/>
  <c r="I699" i="1"/>
  <c r="B700" i="1"/>
  <c r="I700" i="1"/>
  <c r="B701" i="1"/>
  <c r="I701" i="1"/>
  <c r="B702" i="1"/>
  <c r="I702" i="1"/>
  <c r="B703" i="1"/>
  <c r="I703" i="1"/>
  <c r="B704" i="1"/>
  <c r="I704" i="1"/>
  <c r="B705" i="1"/>
  <c r="I705" i="1"/>
  <c r="B706" i="1"/>
  <c r="I706" i="1"/>
  <c r="H724" i="1"/>
  <c r="B707" i="1"/>
  <c r="I707" i="1"/>
  <c r="H725" i="1"/>
  <c r="B708" i="1"/>
  <c r="I708" i="1"/>
  <c r="H726" i="1"/>
  <c r="I473" i="1"/>
  <c r="I474" i="1"/>
  <c r="I475" i="1"/>
  <c r="I462" i="1"/>
  <c r="I461" i="1"/>
  <c r="H474" i="1"/>
  <c r="H473" i="1"/>
  <c r="H402" i="1"/>
  <c r="H401" i="1"/>
  <c r="B281" i="1"/>
  <c r="I122" i="1"/>
  <c r="I121" i="1"/>
  <c r="I120" i="1"/>
  <c r="I119" i="1"/>
  <c r="I118" i="1"/>
  <c r="I117" i="1"/>
  <c r="I116" i="1"/>
  <c r="I115" i="1"/>
  <c r="B63" i="1"/>
  <c r="B62" i="1"/>
  <c r="B52" i="1"/>
  <c r="I51" i="1"/>
  <c r="B51" i="1"/>
  <c r="I50" i="1"/>
  <c r="B50" i="1"/>
  <c r="I49" i="1"/>
  <c r="B49" i="1"/>
  <c r="I48" i="1"/>
  <c r="B48" i="1"/>
  <c r="I47" i="1"/>
  <c r="B47" i="1"/>
  <c r="I46" i="1"/>
  <c r="B46" i="1"/>
  <c r="I45" i="1"/>
  <c r="B45" i="1"/>
  <c r="I44" i="1"/>
  <c r="B44" i="1"/>
  <c r="B34" i="1"/>
  <c r="I16" i="1"/>
  <c r="B16" i="1"/>
  <c r="I15" i="1"/>
  <c r="I4" i="1"/>
  <c r="B951" i="1"/>
  <c r="B1209" i="1"/>
  <c r="B1117" i="1"/>
  <c r="B442" i="1"/>
  <c r="I454" i="1"/>
  <c r="I455" i="1"/>
  <c r="I456" i="1"/>
  <c r="I457" i="1"/>
  <c r="I458" i="1"/>
  <c r="I459" i="1"/>
  <c r="B454" i="1"/>
  <c r="B455" i="1"/>
  <c r="B456" i="1"/>
  <c r="B457" i="1"/>
  <c r="B458" i="1"/>
  <c r="B459" i="1"/>
  <c r="B460" i="1"/>
  <c r="B461" i="1"/>
  <c r="B462" i="1"/>
  <c r="B463" i="1"/>
  <c r="B464" i="1"/>
  <c r="B443" i="1"/>
  <c r="B444" i="1"/>
  <c r="B445" i="1"/>
  <c r="B446" i="1"/>
  <c r="B447" i="1"/>
  <c r="B448" i="1"/>
  <c r="B449" i="1"/>
  <c r="B450" i="1"/>
  <c r="B451" i="1"/>
  <c r="B452" i="1"/>
  <c r="B406" i="1"/>
  <c r="B407" i="1"/>
  <c r="B408" i="1"/>
  <c r="B409" i="1"/>
  <c r="B410" i="1"/>
  <c r="B411" i="1"/>
  <c r="B412" i="1"/>
  <c r="B413" i="1"/>
  <c r="B414" i="1"/>
  <c r="B415" i="1"/>
  <c r="B394" i="1"/>
  <c r="B395" i="1"/>
  <c r="B396" i="1"/>
  <c r="B397" i="1"/>
  <c r="B398" i="1"/>
  <c r="B399" i="1"/>
  <c r="B400" i="1"/>
  <c r="B401" i="1"/>
  <c r="B402" i="1"/>
  <c r="B403" i="1"/>
  <c r="B404" i="1"/>
  <c r="B296" i="1"/>
  <c r="B297" i="1"/>
  <c r="B298" i="1"/>
  <c r="B299" i="1"/>
  <c r="B300" i="1"/>
  <c r="B301" i="1"/>
  <c r="B302" i="1"/>
  <c r="B290" i="1"/>
  <c r="B292" i="1"/>
  <c r="B1055" i="1"/>
  <c r="B1054" i="1"/>
  <c r="B982" i="1"/>
  <c r="B199" i="1"/>
  <c r="B1206" i="1"/>
  <c r="B1199" i="1"/>
  <c r="B1200" i="1"/>
  <c r="B1201" i="1"/>
  <c r="B1202" i="1"/>
  <c r="B1203" i="1"/>
  <c r="B1204" i="1"/>
  <c r="B1205" i="1"/>
  <c r="B1198" i="1"/>
  <c r="B1197" i="1"/>
  <c r="B1175" i="1"/>
  <c r="B1176" i="1"/>
  <c r="B1177" i="1"/>
  <c r="B1178" i="1"/>
  <c r="B1179" i="1"/>
  <c r="B1174" i="1"/>
  <c r="B1163" i="1"/>
  <c r="B1154" i="1"/>
  <c r="B1141" i="1"/>
  <c r="B1142" i="1"/>
  <c r="B1143" i="1"/>
  <c r="B1144" i="1"/>
  <c r="B1145" i="1"/>
  <c r="B1146" i="1"/>
  <c r="B1147" i="1"/>
  <c r="B1148" i="1"/>
  <c r="B1113" i="1"/>
  <c r="B1114" i="1"/>
  <c r="B1115" i="1"/>
  <c r="B1116" i="1"/>
  <c r="B1112" i="1"/>
  <c r="B1107" i="1"/>
  <c r="B1108" i="1"/>
  <c r="B1109" i="1"/>
  <c r="B1110" i="1"/>
  <c r="B1111" i="1"/>
  <c r="B1106" i="1"/>
  <c r="B1049" i="1"/>
  <c r="B1050" i="1"/>
  <c r="B1051" i="1"/>
  <c r="B1052" i="1"/>
  <c r="B1048" i="1"/>
  <c r="B1020" i="1"/>
  <c r="B1021" i="1"/>
  <c r="B1022" i="1"/>
  <c r="B1023" i="1"/>
  <c r="B1024" i="1"/>
  <c r="B1025" i="1"/>
  <c r="B1019" i="1"/>
  <c r="B994" i="1"/>
  <c r="B995" i="1"/>
  <c r="B996" i="1"/>
  <c r="B997" i="1"/>
  <c r="B998" i="1"/>
  <c r="B993" i="1"/>
  <c r="B984" i="1"/>
  <c r="B985" i="1"/>
  <c r="B986" i="1"/>
  <c r="B987" i="1"/>
  <c r="B988" i="1"/>
  <c r="B989" i="1"/>
  <c r="B990" i="1"/>
  <c r="B983" i="1"/>
  <c r="B972" i="1"/>
  <c r="B973" i="1"/>
  <c r="B974" i="1"/>
  <c r="B975" i="1"/>
  <c r="B976" i="1"/>
  <c r="B977" i="1"/>
  <c r="B978" i="1"/>
  <c r="B971" i="1"/>
  <c r="B963" i="1"/>
  <c r="B964" i="1"/>
  <c r="B965" i="1"/>
  <c r="B966" i="1"/>
  <c r="B967" i="1"/>
  <c r="B968" i="1"/>
  <c r="B969" i="1"/>
  <c r="B962" i="1"/>
  <c r="B954" i="1"/>
  <c r="B955" i="1"/>
  <c r="B956" i="1"/>
  <c r="B957" i="1"/>
  <c r="B958" i="1"/>
  <c r="B959" i="1"/>
  <c r="B960" i="1"/>
  <c r="B953" i="1"/>
  <c r="B950" i="1"/>
  <c r="B945" i="1"/>
  <c r="B946" i="1"/>
  <c r="B947" i="1"/>
  <c r="B948" i="1"/>
  <c r="B949" i="1"/>
  <c r="B944" i="1"/>
  <c r="B827" i="1"/>
  <c r="B828" i="1"/>
  <c r="B829" i="1"/>
  <c r="B826" i="1"/>
  <c r="B821" i="1"/>
  <c r="B819" i="1"/>
  <c r="B817" i="1"/>
  <c r="B815" i="1"/>
  <c r="B813" i="1"/>
  <c r="B812" i="1"/>
  <c r="B811" i="1"/>
  <c r="B810" i="1"/>
  <c r="B809" i="1"/>
  <c r="B808" i="1"/>
  <c r="B807" i="1"/>
  <c r="B806" i="1"/>
  <c r="B805" i="1"/>
  <c r="B804" i="1"/>
  <c r="B803" i="1"/>
  <c r="B802" i="1"/>
  <c r="B801" i="1"/>
  <c r="B800" i="1"/>
  <c r="B798" i="1"/>
  <c r="B820" i="1"/>
  <c r="B818" i="1"/>
  <c r="B816" i="1"/>
  <c r="B814" i="1"/>
  <c r="B785" i="1"/>
  <c r="B786" i="1"/>
  <c r="B784" i="1"/>
  <c r="B773" i="1"/>
  <c r="B763" i="1"/>
  <c r="B762" i="1"/>
  <c r="B744" i="1"/>
  <c r="B745" i="1"/>
  <c r="B746" i="1"/>
  <c r="B747" i="1"/>
  <c r="B748" i="1"/>
  <c r="B743" i="1"/>
  <c r="B725" i="1"/>
  <c r="B726" i="1"/>
  <c r="B727" i="1"/>
  <c r="B728" i="1"/>
  <c r="B729" i="1"/>
  <c r="B730" i="1"/>
  <c r="B731" i="1"/>
  <c r="B732" i="1"/>
  <c r="B733" i="1"/>
  <c r="B734" i="1"/>
  <c r="B735" i="1"/>
  <c r="B736" i="1"/>
  <c r="B737" i="1"/>
  <c r="B738" i="1"/>
  <c r="B739" i="1"/>
  <c r="B740" i="1"/>
  <c r="B741" i="1"/>
  <c r="B724" i="1"/>
  <c r="B709" i="1"/>
  <c r="B710" i="1"/>
  <c r="B711" i="1"/>
  <c r="B712" i="1"/>
  <c r="B713" i="1"/>
  <c r="B714" i="1"/>
  <c r="B715" i="1"/>
  <c r="B716" i="1"/>
  <c r="B717" i="1"/>
  <c r="B718" i="1"/>
  <c r="B719" i="1"/>
  <c r="B720" i="1"/>
  <c r="B721" i="1"/>
  <c r="B722" i="1"/>
  <c r="B723" i="1"/>
  <c r="I695" i="1"/>
  <c r="I696" i="1"/>
  <c r="I691" i="1"/>
  <c r="I692" i="1"/>
  <c r="B691" i="1"/>
  <c r="B692" i="1"/>
  <c r="B693" i="1"/>
  <c r="B694" i="1"/>
  <c r="B695" i="1"/>
  <c r="B696" i="1"/>
  <c r="B686" i="1"/>
  <c r="B687" i="1"/>
  <c r="B688" i="1"/>
  <c r="B689" i="1"/>
  <c r="B690" i="1"/>
  <c r="B669" i="1"/>
  <c r="B670" i="1"/>
  <c r="B671" i="1"/>
  <c r="B672" i="1"/>
  <c r="B673" i="1"/>
  <c r="B674" i="1"/>
  <c r="B675" i="1"/>
  <c r="B676" i="1"/>
  <c r="B677" i="1"/>
  <c r="B678" i="1"/>
  <c r="B679" i="1"/>
  <c r="B680" i="1"/>
  <c r="B668" i="1"/>
  <c r="B656" i="1"/>
  <c r="B657" i="1"/>
  <c r="B658" i="1"/>
  <c r="B659" i="1"/>
  <c r="B660" i="1"/>
  <c r="B661" i="1"/>
  <c r="B662" i="1"/>
  <c r="B663" i="1"/>
  <c r="B664" i="1"/>
  <c r="B665" i="1"/>
  <c r="B666" i="1"/>
  <c r="B667" i="1"/>
  <c r="B655" i="1"/>
  <c r="B647" i="1"/>
  <c r="B649" i="1"/>
  <c r="B650" i="1"/>
  <c r="B651" i="1"/>
  <c r="B652" i="1"/>
  <c r="B646" i="1"/>
  <c r="B642" i="1"/>
  <c r="B635" i="1"/>
  <c r="B636" i="1"/>
  <c r="B637" i="1"/>
  <c r="B639" i="1"/>
  <c r="B640" i="1"/>
  <c r="B641" i="1"/>
  <c r="B634" i="1"/>
  <c r="I1285" i="1"/>
  <c r="B1285" i="1"/>
  <c r="I1284" i="1"/>
  <c r="B1284" i="1"/>
  <c r="I1283" i="1"/>
  <c r="B1283" i="1"/>
  <c r="I1282" i="1"/>
  <c r="B1282" i="1"/>
  <c r="I1281" i="1"/>
  <c r="B1281" i="1"/>
  <c r="I1280" i="1"/>
  <c r="B1280" i="1"/>
  <c r="I1279" i="1"/>
  <c r="B1279" i="1"/>
  <c r="I1278" i="1"/>
  <c r="B1278" i="1"/>
  <c r="I1277" i="1"/>
  <c r="I1276" i="1"/>
  <c r="B1276" i="1"/>
  <c r="I1275" i="1"/>
  <c r="B1275" i="1"/>
  <c r="I1274" i="1"/>
  <c r="B1274" i="1"/>
  <c r="I1273" i="1"/>
  <c r="B1273" i="1"/>
  <c r="I1272" i="1"/>
  <c r="B1272" i="1"/>
  <c r="I1271" i="1"/>
  <c r="B1271" i="1"/>
  <c r="I1270" i="1"/>
  <c r="B1270" i="1"/>
  <c r="I1269" i="1"/>
  <c r="B1269" i="1"/>
  <c r="I1268" i="1"/>
  <c r="B1268" i="1"/>
  <c r="I1267" i="1"/>
  <c r="B1267" i="1"/>
  <c r="I1266" i="1"/>
  <c r="B1266" i="1"/>
  <c r="I1265" i="1"/>
  <c r="B1265" i="1"/>
  <c r="I1264" i="1"/>
  <c r="B1264" i="1"/>
  <c r="I1263" i="1"/>
  <c r="B1263" i="1"/>
  <c r="I1262" i="1"/>
  <c r="B1262" i="1"/>
  <c r="I1261" i="1"/>
  <c r="B1261" i="1"/>
  <c r="I1260" i="1"/>
  <c r="B1260" i="1"/>
  <c r="I1259" i="1"/>
  <c r="B1259" i="1"/>
  <c r="I1258" i="1"/>
  <c r="B1258" i="1"/>
  <c r="I1257" i="1"/>
  <c r="B1257" i="1"/>
  <c r="I1254" i="1"/>
  <c r="B1254" i="1"/>
  <c r="I1253" i="1"/>
  <c r="B1253" i="1"/>
  <c r="I1252" i="1"/>
  <c r="B1252" i="1"/>
  <c r="I1251" i="1"/>
  <c r="B1251" i="1"/>
  <c r="I1250" i="1"/>
  <c r="B1250" i="1"/>
  <c r="I1249" i="1"/>
  <c r="B1249" i="1"/>
  <c r="I1248" i="1"/>
  <c r="B1248" i="1"/>
  <c r="I1247" i="1"/>
  <c r="B1247" i="1"/>
  <c r="I1246" i="1"/>
  <c r="B1246" i="1"/>
  <c r="I1245" i="1"/>
  <c r="B1245" i="1"/>
  <c r="I1244" i="1"/>
  <c r="B1244" i="1"/>
  <c r="I1243" i="1"/>
  <c r="B1243" i="1"/>
  <c r="I1242" i="1"/>
  <c r="B1242" i="1"/>
  <c r="I1241" i="1"/>
  <c r="B1241" i="1"/>
  <c r="I1240" i="1"/>
  <c r="B1240" i="1"/>
  <c r="I1239" i="1"/>
  <c r="B1239" i="1"/>
  <c r="I1238" i="1"/>
  <c r="B1238" i="1"/>
  <c r="I1237" i="1"/>
  <c r="B1237" i="1"/>
  <c r="I1236" i="1"/>
  <c r="B1236" i="1"/>
  <c r="I1235" i="1"/>
  <c r="B1235" i="1"/>
  <c r="I1234" i="1"/>
  <c r="B1234" i="1"/>
  <c r="I1233" i="1"/>
  <c r="B1233" i="1"/>
  <c r="I1232" i="1"/>
  <c r="B1232" i="1"/>
  <c r="I1231" i="1"/>
  <c r="B1231" i="1"/>
  <c r="I1230" i="1"/>
  <c r="B1230" i="1"/>
  <c r="I1229" i="1"/>
  <c r="B1229" i="1"/>
  <c r="I1228" i="1"/>
  <c r="B1228" i="1"/>
  <c r="I1227" i="1"/>
  <c r="B1227" i="1"/>
  <c r="I1226" i="1"/>
  <c r="B1226" i="1"/>
  <c r="I1225" i="1"/>
  <c r="B1225" i="1"/>
  <c r="I1224" i="1"/>
  <c r="B1224" i="1"/>
  <c r="I1223" i="1"/>
  <c r="B1223" i="1"/>
  <c r="I1222" i="1"/>
  <c r="B1222" i="1"/>
  <c r="I1221" i="1"/>
  <c r="B1221" i="1"/>
  <c r="I1220" i="1"/>
  <c r="B1220" i="1"/>
  <c r="I1219" i="1"/>
  <c r="B1219" i="1"/>
  <c r="I1218" i="1"/>
  <c r="B1218" i="1"/>
  <c r="I1214" i="1"/>
  <c r="B1214" i="1"/>
  <c r="I1213" i="1"/>
  <c r="I1212" i="1"/>
  <c r="I1211" i="1"/>
  <c r="B1211" i="1"/>
  <c r="I1210" i="1"/>
  <c r="B1210" i="1"/>
  <c r="I1209" i="1"/>
  <c r="I1206" i="1"/>
  <c r="I1205" i="1"/>
  <c r="I1204" i="1"/>
  <c r="I1203" i="1"/>
  <c r="I1202" i="1"/>
  <c r="I1201" i="1"/>
  <c r="I1200" i="1"/>
  <c r="I1199" i="1"/>
  <c r="I1198" i="1"/>
  <c r="I1197" i="1"/>
  <c r="I1196" i="1"/>
  <c r="I1195" i="1"/>
  <c r="I1180" i="1"/>
  <c r="I1179" i="1"/>
  <c r="I1178" i="1"/>
  <c r="I1177" i="1"/>
  <c r="I1176" i="1"/>
  <c r="I1175" i="1"/>
  <c r="I1174" i="1"/>
  <c r="I1171" i="1"/>
  <c r="I1170" i="1"/>
  <c r="I1169" i="1"/>
  <c r="I1168" i="1"/>
  <c r="I1167" i="1"/>
  <c r="I1166" i="1"/>
  <c r="I1165" i="1"/>
  <c r="I1164" i="1"/>
  <c r="I1163" i="1"/>
  <c r="I1162" i="1"/>
  <c r="H1171" i="1"/>
  <c r="I1161" i="1"/>
  <c r="H1170" i="1"/>
  <c r="I1160" i="1"/>
  <c r="H1169" i="1"/>
  <c r="I1159" i="1"/>
  <c r="H1168" i="1"/>
  <c r="I1158" i="1"/>
  <c r="H1167" i="1"/>
  <c r="I1157" i="1"/>
  <c r="H1166" i="1"/>
  <c r="I1156" i="1"/>
  <c r="H1165" i="1"/>
  <c r="I1155" i="1"/>
  <c r="H1164" i="1"/>
  <c r="I1154" i="1"/>
  <c r="H1163" i="1"/>
  <c r="I1148" i="1"/>
  <c r="I1147" i="1"/>
  <c r="I1146" i="1"/>
  <c r="I1145" i="1"/>
  <c r="I1144" i="1"/>
  <c r="I1143" i="1"/>
  <c r="I1142" i="1"/>
  <c r="I1141" i="1"/>
  <c r="I1140" i="1"/>
  <c r="I1139" i="1"/>
  <c r="B1139" i="1"/>
  <c r="I1138" i="1"/>
  <c r="B1138" i="1"/>
  <c r="I1137" i="1"/>
  <c r="I1136" i="1"/>
  <c r="I1135" i="1"/>
  <c r="I1134" i="1"/>
  <c r="I1133" i="1"/>
  <c r="I1132" i="1"/>
  <c r="I1131" i="1"/>
  <c r="H1137" i="1"/>
  <c r="I1130" i="1"/>
  <c r="I1129" i="1"/>
  <c r="I1128" i="1"/>
  <c r="H1136" i="1"/>
  <c r="I1127" i="1"/>
  <c r="I1126" i="1"/>
  <c r="I1125" i="1"/>
  <c r="H1135" i="1"/>
  <c r="I1124" i="1"/>
  <c r="H1134" i="1"/>
  <c r="I1123" i="1"/>
  <c r="H1133" i="1"/>
  <c r="I1122" i="1"/>
  <c r="H1132" i="1"/>
  <c r="I1119" i="1"/>
  <c r="B1119" i="1"/>
  <c r="I1118" i="1"/>
  <c r="B1118" i="1"/>
  <c r="I1117" i="1"/>
  <c r="I1116" i="1"/>
  <c r="I1115" i="1"/>
  <c r="I1114" i="1"/>
  <c r="I1113" i="1"/>
  <c r="I1112" i="1"/>
  <c r="I1111" i="1"/>
  <c r="H1117" i="1"/>
  <c r="I1110" i="1"/>
  <c r="H1116" i="1"/>
  <c r="I1109" i="1"/>
  <c r="H1115" i="1"/>
  <c r="I1108" i="1"/>
  <c r="H1114" i="1"/>
  <c r="I1107" i="1"/>
  <c r="H1113" i="1"/>
  <c r="I1106" i="1"/>
  <c r="H1112" i="1"/>
  <c r="I1105" i="1"/>
  <c r="B1105" i="1"/>
  <c r="I1104" i="1"/>
  <c r="B1104" i="1"/>
  <c r="I1101" i="1"/>
  <c r="I1100" i="1"/>
  <c r="I1099" i="1"/>
  <c r="I1098" i="1"/>
  <c r="I1097" i="1"/>
  <c r="I1096" i="1"/>
  <c r="I1095" i="1"/>
  <c r="I1094" i="1"/>
  <c r="I1093" i="1"/>
  <c r="I1092" i="1"/>
  <c r="I1091" i="1"/>
  <c r="I1090" i="1"/>
  <c r="I1089" i="1"/>
  <c r="I1088" i="1"/>
  <c r="I1084" i="1"/>
  <c r="I1083" i="1"/>
  <c r="I1082" i="1"/>
  <c r="I1081" i="1"/>
  <c r="I1080" i="1"/>
  <c r="I1079" i="1"/>
  <c r="I1078" i="1"/>
  <c r="I1077" i="1"/>
  <c r="I1076" i="1"/>
  <c r="I1075" i="1"/>
  <c r="I1074" i="1"/>
  <c r="I1073" i="1"/>
  <c r="I1072" i="1"/>
  <c r="I1068" i="1"/>
  <c r="H1084" i="1"/>
  <c r="I1067" i="1"/>
  <c r="H1083" i="1"/>
  <c r="I1066" i="1"/>
  <c r="H1082" i="1"/>
  <c r="I1065" i="1"/>
  <c r="H1081" i="1"/>
  <c r="I1064" i="1"/>
  <c r="H1080" i="1"/>
  <c r="I1063" i="1"/>
  <c r="H1095" i="1"/>
  <c r="I1062" i="1"/>
  <c r="H1094" i="1"/>
  <c r="I1061" i="1"/>
  <c r="H1093" i="1"/>
  <c r="I1060" i="1"/>
  <c r="H1076" i="1"/>
  <c r="I1059" i="1"/>
  <c r="H1091" i="1"/>
  <c r="I1058" i="1"/>
  <c r="H1074" i="1"/>
  <c r="I1057" i="1"/>
  <c r="H1089" i="1"/>
  <c r="I1056" i="1"/>
  <c r="H1072" i="1"/>
  <c r="I1055" i="1"/>
  <c r="I1054" i="1"/>
  <c r="I1053" i="1"/>
  <c r="B1053" i="1"/>
  <c r="I1052" i="1"/>
  <c r="I1051" i="1"/>
  <c r="I1050" i="1"/>
  <c r="I1049" i="1"/>
  <c r="I1048" i="1"/>
  <c r="I1047" i="1"/>
  <c r="I1046" i="1"/>
  <c r="I1045" i="1"/>
  <c r="B1045" i="1"/>
  <c r="I1044" i="1"/>
  <c r="B1044" i="1"/>
  <c r="I1043" i="1"/>
  <c r="B1043" i="1"/>
  <c r="I1039" i="1"/>
  <c r="I1038" i="1"/>
  <c r="B1038" i="1"/>
  <c r="I1037" i="1"/>
  <c r="I1036" i="1"/>
  <c r="B1036" i="1"/>
  <c r="I1035" i="1"/>
  <c r="B1035" i="1"/>
  <c r="I1034" i="1"/>
  <c r="I1033" i="1"/>
  <c r="I1030" i="1"/>
  <c r="B1030" i="1"/>
  <c r="I1029" i="1"/>
  <c r="I1028" i="1"/>
  <c r="B1028" i="1"/>
  <c r="I1027" i="1"/>
  <c r="B1027" i="1"/>
  <c r="I1026" i="1"/>
  <c r="B1026" i="1"/>
  <c r="I1025" i="1"/>
  <c r="I1024" i="1"/>
  <c r="I1023" i="1"/>
  <c r="I1022" i="1"/>
  <c r="I1021" i="1"/>
  <c r="I1020" i="1"/>
  <c r="I1019" i="1"/>
  <c r="I1018" i="1"/>
  <c r="I1017" i="1"/>
  <c r="I1016" i="1"/>
  <c r="I1015" i="1"/>
  <c r="I1014" i="1"/>
  <c r="I1013" i="1"/>
  <c r="I1012" i="1"/>
  <c r="B1012" i="1"/>
  <c r="I1011" i="1"/>
  <c r="B1011" i="1"/>
  <c r="I1010" i="1"/>
  <c r="B1010" i="1"/>
  <c r="I1009" i="1"/>
  <c r="B1009" i="1"/>
  <c r="B1006" i="1"/>
  <c r="B1005" i="1"/>
  <c r="I1001" i="1"/>
  <c r="I1000" i="1"/>
  <c r="B1000" i="1"/>
  <c r="I999" i="1"/>
  <c r="B999" i="1"/>
  <c r="I998" i="1"/>
  <c r="I997" i="1"/>
  <c r="I996" i="1"/>
  <c r="I995" i="1"/>
  <c r="I994" i="1"/>
  <c r="I993" i="1"/>
  <c r="I990" i="1"/>
  <c r="I989" i="1"/>
  <c r="I988" i="1"/>
  <c r="I987" i="1"/>
  <c r="I986" i="1"/>
  <c r="I985" i="1"/>
  <c r="I984" i="1"/>
  <c r="I983" i="1"/>
  <c r="I982" i="1"/>
  <c r="I978" i="1"/>
  <c r="I977" i="1"/>
  <c r="I976" i="1"/>
  <c r="I975" i="1"/>
  <c r="I974" i="1"/>
  <c r="I973" i="1"/>
  <c r="I972" i="1"/>
  <c r="I971" i="1"/>
  <c r="I969" i="1"/>
  <c r="I968" i="1"/>
  <c r="I967" i="1"/>
  <c r="I966" i="1"/>
  <c r="I965" i="1"/>
  <c r="I964" i="1"/>
  <c r="I963" i="1"/>
  <c r="I962" i="1"/>
  <c r="I960" i="1"/>
  <c r="I959" i="1"/>
  <c r="I958" i="1"/>
  <c r="I957" i="1"/>
  <c r="I956" i="1"/>
  <c r="I955" i="1"/>
  <c r="I954" i="1"/>
  <c r="I953" i="1"/>
  <c r="I951" i="1"/>
  <c r="I950" i="1"/>
  <c r="I949" i="1"/>
  <c r="I948" i="1"/>
  <c r="I947" i="1"/>
  <c r="I946" i="1"/>
  <c r="I945" i="1"/>
  <c r="I944"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1" i="1"/>
  <c r="I820" i="1"/>
  <c r="I819" i="1"/>
  <c r="I818" i="1"/>
  <c r="I817" i="1"/>
  <c r="I816" i="1"/>
  <c r="I815" i="1"/>
  <c r="I814" i="1"/>
  <c r="I813" i="1"/>
  <c r="I812" i="1"/>
  <c r="I811" i="1"/>
  <c r="I810" i="1"/>
  <c r="I809" i="1"/>
  <c r="I808" i="1"/>
  <c r="I807" i="1"/>
  <c r="I806" i="1"/>
  <c r="I805" i="1"/>
  <c r="I804" i="1"/>
  <c r="I803" i="1"/>
  <c r="I802" i="1"/>
  <c r="I801" i="1"/>
  <c r="I800" i="1"/>
  <c r="I799" i="1"/>
  <c r="I798" i="1"/>
  <c r="I785" i="1"/>
  <c r="I784" i="1"/>
  <c r="I774" i="1"/>
  <c r="H785" i="1"/>
  <c r="I762" i="1"/>
  <c r="I751" i="1"/>
  <c r="H773" i="1"/>
  <c r="I748" i="1"/>
  <c r="I747" i="1"/>
  <c r="I746" i="1"/>
  <c r="I745" i="1"/>
  <c r="I744" i="1"/>
  <c r="I743" i="1"/>
  <c r="I742" i="1"/>
  <c r="B742" i="1"/>
  <c r="I741" i="1"/>
  <c r="I740" i="1"/>
  <c r="I739" i="1"/>
  <c r="I738" i="1"/>
  <c r="I737" i="1"/>
  <c r="I736" i="1"/>
  <c r="I735" i="1"/>
  <c r="I734" i="1"/>
  <c r="I733" i="1"/>
  <c r="I732" i="1"/>
  <c r="I731" i="1"/>
  <c r="I730" i="1"/>
  <c r="I729" i="1"/>
  <c r="I728" i="1"/>
  <c r="I727" i="1"/>
  <c r="I726" i="1"/>
  <c r="I725" i="1"/>
  <c r="I724" i="1"/>
  <c r="I723" i="1"/>
  <c r="H741" i="1"/>
  <c r="I722" i="1"/>
  <c r="H740" i="1"/>
  <c r="I721" i="1"/>
  <c r="H739" i="1"/>
  <c r="I720" i="1"/>
  <c r="H738" i="1"/>
  <c r="I719" i="1"/>
  <c r="H737" i="1"/>
  <c r="I718" i="1"/>
  <c r="H736" i="1"/>
  <c r="I717" i="1"/>
  <c r="H735" i="1"/>
  <c r="I716" i="1"/>
  <c r="H734" i="1"/>
  <c r="I715" i="1"/>
  <c r="H733" i="1"/>
  <c r="I714" i="1"/>
  <c r="H732" i="1"/>
  <c r="I713" i="1"/>
  <c r="H731" i="1"/>
  <c r="I712" i="1"/>
  <c r="H730" i="1"/>
  <c r="I711" i="1"/>
  <c r="H729" i="1"/>
  <c r="I710" i="1"/>
  <c r="H728" i="1"/>
  <c r="I709" i="1"/>
  <c r="H727" i="1"/>
  <c r="I690" i="1"/>
  <c r="I689" i="1"/>
  <c r="I688" i="1"/>
  <c r="I687" i="1"/>
  <c r="I686" i="1"/>
  <c r="I685" i="1"/>
  <c r="B685" i="1"/>
  <c r="I684" i="1"/>
  <c r="B684" i="1"/>
  <c r="I683" i="1"/>
  <c r="B683"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3" i="1"/>
  <c r="B643" i="1"/>
  <c r="I642" i="1"/>
  <c r="I641" i="1"/>
  <c r="I640" i="1"/>
  <c r="I639" i="1"/>
  <c r="I638" i="1"/>
  <c r="I637" i="1"/>
  <c r="I636" i="1"/>
  <c r="I635" i="1"/>
  <c r="I634" i="1"/>
  <c r="I633" i="1"/>
  <c r="I632" i="1"/>
  <c r="I631" i="1"/>
  <c r="I630" i="1"/>
  <c r="B630" i="1"/>
  <c r="I629" i="1"/>
  <c r="B581" i="1"/>
  <c r="B582" i="1"/>
  <c r="B583" i="1"/>
  <c r="B584" i="1"/>
  <c r="B585" i="1"/>
  <c r="B586" i="1"/>
  <c r="B587" i="1"/>
  <c r="B588" i="1"/>
  <c r="B589" i="1"/>
  <c r="B590" i="1"/>
  <c r="B591" i="1"/>
  <c r="B592" i="1"/>
  <c r="B593" i="1"/>
  <c r="B594" i="1"/>
  <c r="B595" i="1"/>
  <c r="B596" i="1"/>
  <c r="B597" i="1"/>
  <c r="B598" i="1"/>
  <c r="B599" i="1"/>
  <c r="B600" i="1"/>
  <c r="B601" i="1"/>
  <c r="B603" i="1"/>
  <c r="B580" i="1"/>
  <c r="B382" i="1"/>
  <c r="B383" i="1"/>
  <c r="B384" i="1"/>
  <c r="B385" i="1"/>
  <c r="B386" i="1"/>
  <c r="B387" i="1"/>
  <c r="B388" i="1"/>
  <c r="B389" i="1"/>
  <c r="B390" i="1"/>
  <c r="B391" i="1"/>
  <c r="B392" i="1"/>
  <c r="B369" i="1"/>
  <c r="B370" i="1"/>
  <c r="B371" i="1"/>
  <c r="B372" i="1"/>
  <c r="B373" i="1"/>
  <c r="B374" i="1"/>
  <c r="B375" i="1"/>
  <c r="B376" i="1"/>
  <c r="B368" i="1"/>
  <c r="B321" i="1"/>
  <c r="B322" i="1"/>
  <c r="B323" i="1"/>
  <c r="B324" i="1"/>
  <c r="B325" i="1"/>
  <c r="B326" i="1"/>
  <c r="B327" i="1"/>
  <c r="B328" i="1"/>
  <c r="B329" i="1"/>
  <c r="B330" i="1"/>
  <c r="B331" i="1"/>
  <c r="B332" i="1"/>
  <c r="B333" i="1"/>
  <c r="B334" i="1"/>
  <c r="B335" i="1"/>
  <c r="B336" i="1"/>
  <c r="B337" i="1"/>
  <c r="B338" i="1"/>
  <c r="B339" i="1"/>
  <c r="B340" i="1"/>
  <c r="B341" i="1"/>
  <c r="B342" i="1"/>
  <c r="B343" i="1"/>
  <c r="B320" i="1"/>
  <c r="B200" i="1"/>
  <c r="B109" i="1"/>
  <c r="B134" i="1"/>
  <c r="B135" i="1"/>
  <c r="B136" i="1"/>
  <c r="B137" i="1"/>
  <c r="B138" i="1"/>
  <c r="B139" i="1"/>
  <c r="B140" i="1"/>
  <c r="B141" i="1"/>
  <c r="B142" i="1"/>
  <c r="B143" i="1"/>
  <c r="B144" i="1"/>
  <c r="B145" i="1"/>
  <c r="B564" i="1"/>
  <c r="B565" i="1"/>
  <c r="B566" i="1"/>
  <c r="B567" i="1"/>
  <c r="B568" i="1"/>
  <c r="B569" i="1"/>
  <c r="B563" i="1"/>
  <c r="I569" i="1"/>
  <c r="I568" i="1"/>
  <c r="I567" i="1"/>
  <c r="I566" i="1"/>
  <c r="I565" i="1"/>
  <c r="I564" i="1"/>
  <c r="I563" i="1"/>
  <c r="B557" i="1"/>
  <c r="B558" i="1"/>
  <c r="B559" i="1"/>
  <c r="B560" i="1"/>
  <c r="B561" i="1"/>
  <c r="B562" i="1"/>
  <c r="B556" i="1"/>
  <c r="I562" i="1"/>
  <c r="I561" i="1"/>
  <c r="I560" i="1"/>
  <c r="I559" i="1"/>
  <c r="I558" i="1"/>
  <c r="I557" i="1"/>
  <c r="I556" i="1"/>
  <c r="B550" i="1"/>
  <c r="B551" i="1"/>
  <c r="B552" i="1"/>
  <c r="B553" i="1"/>
  <c r="B554" i="1"/>
  <c r="B555" i="1"/>
  <c r="B549" i="1"/>
  <c r="I555" i="1"/>
  <c r="I554" i="1"/>
  <c r="I553" i="1"/>
  <c r="I552" i="1"/>
  <c r="I551" i="1"/>
  <c r="I550" i="1"/>
  <c r="I549" i="1"/>
  <c r="B543" i="1"/>
  <c r="B544" i="1"/>
  <c r="B545" i="1"/>
  <c r="B546" i="1"/>
  <c r="B547" i="1"/>
  <c r="B548" i="1"/>
  <c r="B542" i="1"/>
  <c r="I548" i="1"/>
  <c r="I547" i="1"/>
  <c r="I546" i="1"/>
  <c r="I545" i="1"/>
  <c r="I544" i="1"/>
  <c r="I543" i="1"/>
  <c r="I542" i="1"/>
  <c r="I541" i="1"/>
  <c r="I536" i="1"/>
  <c r="I537" i="1"/>
  <c r="I538" i="1"/>
  <c r="I539" i="1"/>
  <c r="I540" i="1"/>
  <c r="I535" i="1"/>
  <c r="B536" i="1"/>
  <c r="B537" i="1"/>
  <c r="B538" i="1"/>
  <c r="B539" i="1"/>
  <c r="B540" i="1"/>
  <c r="B541" i="1"/>
  <c r="B535" i="1"/>
  <c r="I460" i="1"/>
  <c r="I463" i="1"/>
  <c r="I464" i="1"/>
  <c r="I451" i="1"/>
  <c r="H475" i="1"/>
  <c r="I452" i="1"/>
  <c r="H471" i="1"/>
  <c r="H472" i="1"/>
  <c r="B435" i="1"/>
  <c r="B436" i="1"/>
  <c r="B437" i="1"/>
  <c r="B438" i="1"/>
  <c r="B439" i="1"/>
  <c r="B440" i="1"/>
  <c r="B418" i="1"/>
  <c r="B419" i="1"/>
  <c r="B420" i="1"/>
  <c r="B421" i="1"/>
  <c r="B422" i="1"/>
  <c r="B423" i="1"/>
  <c r="B424" i="1"/>
  <c r="B425" i="1"/>
  <c r="B426" i="1"/>
  <c r="B427" i="1"/>
  <c r="B428" i="1"/>
  <c r="I476" i="1"/>
  <c r="I472" i="1"/>
  <c r="I471" i="1"/>
  <c r="B470" i="1"/>
  <c r="B471" i="1"/>
  <c r="B472" i="1"/>
  <c r="B473" i="1"/>
  <c r="B474" i="1"/>
  <c r="B475" i="1"/>
  <c r="B476" i="1"/>
  <c r="B466" i="1"/>
  <c r="B467" i="1"/>
  <c r="B468" i="1"/>
  <c r="B469" i="1"/>
  <c r="H439" i="1"/>
  <c r="H436" i="1"/>
  <c r="H423" i="1"/>
  <c r="H403" i="1"/>
  <c r="H400" i="1"/>
  <c r="H399" i="1"/>
  <c r="B289" i="1"/>
  <c r="B275" i="1"/>
  <c r="B276" i="1"/>
  <c r="B277" i="1"/>
  <c r="B274" i="1"/>
  <c r="B267" i="1"/>
  <c r="B268" i="1"/>
  <c r="B269" i="1"/>
  <c r="B270" i="1"/>
  <c r="B271" i="1"/>
  <c r="B272" i="1"/>
  <c r="B273" i="1"/>
  <c r="B266" i="1"/>
  <c r="B237" i="1"/>
  <c r="B236" i="1"/>
  <c r="B235" i="1"/>
  <c r="B204" i="1"/>
  <c r="B114" i="1"/>
  <c r="B146" i="1"/>
  <c r="I146" i="1"/>
  <c r="I147" i="1"/>
  <c r="B181" i="1"/>
  <c r="B182" i="1"/>
  <c r="B183" i="1"/>
  <c r="B184" i="1"/>
  <c r="B185" i="1"/>
  <c r="B186" i="1"/>
  <c r="I188" i="1"/>
  <c r="B192" i="1"/>
  <c r="I192" i="1"/>
  <c r="B194" i="1"/>
  <c r="I194" i="1"/>
  <c r="B195" i="1"/>
  <c r="I195" i="1"/>
  <c r="B198" i="1"/>
  <c r="I198" i="1"/>
  <c r="I199" i="1"/>
  <c r="B201" i="1"/>
  <c r="B202" i="1"/>
  <c r="B203" i="1"/>
  <c r="B209" i="1"/>
  <c r="B210" i="1"/>
  <c r="B211" i="1"/>
  <c r="B212" i="1"/>
  <c r="B213" i="1"/>
  <c r="B217" i="1"/>
  <c r="B218" i="1"/>
  <c r="B219" i="1"/>
  <c r="B220" i="1"/>
  <c r="B234" i="1"/>
  <c r="B238" i="1"/>
  <c r="B239" i="1"/>
  <c r="B240" i="1"/>
  <c r="B241" i="1"/>
  <c r="B242" i="1"/>
  <c r="B243" i="1"/>
  <c r="B244" i="1"/>
  <c r="B247" i="1"/>
  <c r="B248" i="1"/>
  <c r="B250" i="1"/>
  <c r="B251" i="1"/>
  <c r="B252" i="1"/>
  <c r="B253" i="1"/>
  <c r="B254" i="1"/>
  <c r="B255" i="1"/>
  <c r="B256" i="1"/>
  <c r="B257" i="1"/>
  <c r="B258" i="1"/>
  <c r="I284" i="1"/>
  <c r="I285" i="1"/>
  <c r="I288" i="1"/>
  <c r="B295" i="1"/>
  <c r="B303" i="1"/>
  <c r="B304" i="1"/>
  <c r="B305" i="1"/>
  <c r="B306" i="1"/>
  <c r="B307" i="1"/>
  <c r="B308" i="1"/>
  <c r="B309" i="1"/>
  <c r="B310" i="1"/>
  <c r="B311" i="1"/>
  <c r="B312" i="1"/>
  <c r="B313" i="1"/>
  <c r="B314" i="1"/>
  <c r="B315" i="1"/>
  <c r="B316" i="1"/>
  <c r="B317" i="1"/>
  <c r="B318" i="1"/>
  <c r="B319" i="1"/>
  <c r="H344" i="1"/>
  <c r="H345" i="1"/>
  <c r="H347" i="1"/>
  <c r="H348" i="1"/>
  <c r="H349" i="1"/>
  <c r="H350" i="1"/>
  <c r="H351" i="1"/>
  <c r="H352" i="1"/>
  <c r="H353" i="1"/>
  <c r="H354" i="1"/>
  <c r="H355" i="1"/>
  <c r="H356" i="1"/>
  <c r="H357" i="1"/>
  <c r="H358" i="1"/>
  <c r="H359" i="1"/>
  <c r="H360" i="1"/>
  <c r="H361" i="1"/>
  <c r="H362" i="1"/>
  <c r="H363" i="1"/>
  <c r="H364" i="1"/>
  <c r="H365" i="1"/>
  <c r="H366" i="1"/>
  <c r="H367" i="1"/>
  <c r="H394" i="1"/>
  <c r="H395" i="1"/>
  <c r="H396" i="1"/>
  <c r="H397" i="1"/>
  <c r="H398" i="1"/>
  <c r="H418" i="1"/>
  <c r="H500" i="1"/>
  <c r="H420" i="1"/>
  <c r="H433" i="1"/>
  <c r="H434" i="1"/>
  <c r="B430" i="1"/>
  <c r="B431" i="1"/>
  <c r="B432" i="1"/>
  <c r="B433" i="1"/>
  <c r="B434" i="1"/>
  <c r="H454" i="1"/>
  <c r="H467" i="1"/>
  <c r="H468" i="1"/>
  <c r="H469" i="1"/>
  <c r="I489" i="1"/>
  <c r="I506" i="1"/>
  <c r="I488" i="1"/>
  <c r="B66" i="1"/>
  <c r="B81" i="1"/>
  <c r="I628" i="1"/>
  <c r="I577" i="1"/>
  <c r="I500" i="1"/>
  <c r="I501" i="1"/>
  <c r="I502" i="1"/>
  <c r="I503" i="1"/>
  <c r="I504" i="1"/>
  <c r="I505"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B515" i="1"/>
  <c r="B516" i="1"/>
  <c r="B517" i="1"/>
  <c r="B518" i="1"/>
  <c r="B519" i="1"/>
  <c r="B520" i="1"/>
  <c r="B514" i="1"/>
  <c r="B522" i="1"/>
  <c r="B523" i="1"/>
  <c r="B524" i="1"/>
  <c r="B525" i="1"/>
  <c r="B526" i="1"/>
  <c r="B527" i="1"/>
  <c r="B521" i="1"/>
  <c r="B529" i="1"/>
  <c r="B530" i="1"/>
  <c r="B531" i="1"/>
  <c r="B532" i="1"/>
  <c r="B533" i="1"/>
  <c r="B534" i="1"/>
  <c r="B528" i="1"/>
  <c r="B508" i="1"/>
  <c r="B509" i="1"/>
  <c r="B510" i="1"/>
  <c r="B511" i="1"/>
  <c r="B512" i="1"/>
  <c r="B513" i="1"/>
  <c r="B507" i="1"/>
  <c r="B500" i="1"/>
  <c r="B501" i="1"/>
  <c r="B502" i="1"/>
  <c r="B503" i="1"/>
  <c r="B504" i="1"/>
  <c r="B505" i="1"/>
  <c r="B506" i="1"/>
  <c r="B493" i="1"/>
  <c r="I493" i="1"/>
  <c r="I494" i="1"/>
  <c r="I495" i="1"/>
  <c r="I496" i="1"/>
  <c r="I497" i="1"/>
  <c r="I498" i="1"/>
  <c r="I499" i="1"/>
  <c r="B494" i="1"/>
  <c r="B495" i="1"/>
  <c r="B496" i="1"/>
  <c r="B497" i="1"/>
  <c r="B498" i="1"/>
  <c r="B499" i="1"/>
  <c r="I490" i="1"/>
  <c r="I481" i="1"/>
  <c r="I482" i="1"/>
  <c r="I483" i="1"/>
  <c r="I484" i="1"/>
  <c r="I485" i="1"/>
  <c r="I486" i="1"/>
  <c r="I487" i="1"/>
  <c r="I480" i="1"/>
  <c r="B481" i="1"/>
  <c r="B482" i="1"/>
  <c r="B483" i="1"/>
  <c r="B484" i="1"/>
  <c r="B485" i="1"/>
  <c r="B486" i="1"/>
  <c r="B487" i="1"/>
  <c r="B488" i="1"/>
  <c r="B489" i="1"/>
  <c r="I479" i="1"/>
  <c r="I478" i="1"/>
  <c r="B132" i="1"/>
  <c r="B131" i="1"/>
  <c r="B130" i="1"/>
  <c r="B129" i="1"/>
  <c r="B128" i="1"/>
  <c r="B127" i="1"/>
  <c r="B126" i="1"/>
  <c r="B125" i="1"/>
  <c r="B102" i="1"/>
  <c r="B101" i="1"/>
  <c r="B100" i="1"/>
  <c r="B99" i="1"/>
  <c r="B72" i="1"/>
  <c r="B67" i="1"/>
  <c r="B68" i="1"/>
  <c r="B69" i="1"/>
  <c r="B70" i="1"/>
  <c r="B71" i="1"/>
  <c r="B65" i="1"/>
  <c r="B61" i="1"/>
  <c r="B60" i="1"/>
  <c r="B35" i="1"/>
  <c r="B36" i="1"/>
  <c r="B37" i="1"/>
  <c r="B38" i="1"/>
  <c r="B39" i="1"/>
  <c r="B40" i="1"/>
  <c r="B41" i="1"/>
  <c r="B42" i="1"/>
  <c r="B43" i="1"/>
  <c r="I466" i="1"/>
  <c r="I467" i="1"/>
  <c r="I468" i="1"/>
  <c r="I469" i="1"/>
  <c r="I470" i="1"/>
  <c r="B133" i="1"/>
  <c r="B96" i="1"/>
  <c r="I72" i="1"/>
  <c r="B579" i="1"/>
  <c r="I580" i="1"/>
  <c r="H604" i="1"/>
  <c r="I581" i="1"/>
  <c r="H605" i="1"/>
  <c r="I582" i="1"/>
  <c r="H606" i="1"/>
  <c r="I583" i="1"/>
  <c r="H607" i="1"/>
  <c r="I584" i="1"/>
  <c r="H608" i="1"/>
  <c r="I585" i="1"/>
  <c r="H609" i="1"/>
  <c r="I586" i="1"/>
  <c r="H610" i="1"/>
  <c r="I587" i="1"/>
  <c r="H611" i="1"/>
  <c r="I588" i="1"/>
  <c r="H612" i="1"/>
  <c r="I589" i="1"/>
  <c r="H613" i="1"/>
  <c r="I590" i="1"/>
  <c r="H614" i="1"/>
  <c r="I591" i="1"/>
  <c r="H615" i="1"/>
  <c r="I592" i="1"/>
  <c r="H616" i="1"/>
  <c r="I593" i="1"/>
  <c r="H617" i="1"/>
  <c r="I594" i="1"/>
  <c r="H618" i="1"/>
  <c r="I595" i="1"/>
  <c r="H619" i="1"/>
  <c r="I596" i="1"/>
  <c r="H620" i="1"/>
  <c r="I597" i="1"/>
  <c r="H621" i="1"/>
  <c r="I598" i="1"/>
  <c r="H622" i="1"/>
  <c r="I599" i="1"/>
  <c r="H623" i="1"/>
  <c r="I600" i="1"/>
  <c r="H624" i="1"/>
  <c r="I601" i="1"/>
  <c r="H625" i="1"/>
  <c r="I602" i="1"/>
  <c r="H626" i="1"/>
  <c r="I603" i="1"/>
  <c r="H627" i="1"/>
  <c r="I604" i="1"/>
  <c r="I605" i="1"/>
  <c r="I606" i="1"/>
  <c r="I607" i="1"/>
  <c r="I608" i="1"/>
  <c r="I609" i="1"/>
  <c r="I610" i="1"/>
  <c r="I611" i="1"/>
  <c r="I612" i="1"/>
  <c r="I613" i="1"/>
  <c r="I614" i="1"/>
  <c r="I615" i="1"/>
  <c r="I616" i="1"/>
  <c r="I617" i="1"/>
  <c r="I618" i="1"/>
  <c r="I619" i="1"/>
  <c r="I620" i="1"/>
  <c r="I621" i="1"/>
  <c r="I622" i="1"/>
  <c r="I623" i="1"/>
  <c r="I624" i="1"/>
  <c r="I625" i="1"/>
  <c r="I626" i="1"/>
  <c r="I627" i="1"/>
  <c r="I52" i="1"/>
  <c r="I43" i="1"/>
  <c r="I35" i="1"/>
  <c r="I36" i="1"/>
  <c r="I37" i="1"/>
  <c r="I38" i="1"/>
  <c r="I39" i="1"/>
  <c r="I40" i="1"/>
  <c r="I41" i="1"/>
  <c r="I42" i="1"/>
  <c r="I34" i="1"/>
  <c r="I124" i="1"/>
  <c r="I110" i="1"/>
  <c r="I111" i="1"/>
  <c r="I114" i="1"/>
  <c r="I109" i="1"/>
  <c r="B104" i="1"/>
  <c r="B98" i="1"/>
  <c r="B80" i="1"/>
  <c r="B82" i="1"/>
  <c r="B83" i="1"/>
  <c r="B84" i="1"/>
  <c r="B85" i="1"/>
  <c r="B86" i="1"/>
  <c r="B87" i="1"/>
  <c r="B88" i="1"/>
  <c r="B89" i="1"/>
  <c r="B90" i="1"/>
  <c r="B91" i="1"/>
  <c r="B92" i="1"/>
  <c r="B93" i="1"/>
  <c r="B94" i="1"/>
  <c r="B95" i="1"/>
  <c r="B97" i="1"/>
  <c r="B79" i="1"/>
  <c r="F6" i="1"/>
  <c r="H437" i="1"/>
  <c r="H1079" i="1"/>
  <c r="H969" i="1"/>
  <c r="H960" i="1"/>
  <c r="H962" i="1"/>
  <c r="H953" i="1"/>
  <c r="H212" i="1"/>
  <c r="H228" i="1"/>
  <c r="H220" i="1"/>
  <c r="H229" i="1"/>
  <c r="H221" i="1"/>
  <c r="H211" i="1"/>
  <c r="H227" i="1"/>
  <c r="H219" i="1"/>
  <c r="H225" i="1"/>
  <c r="H217" i="1"/>
  <c r="H963" i="1"/>
  <c r="H954" i="1"/>
  <c r="H967" i="1"/>
  <c r="H958" i="1"/>
  <c r="H970" i="1"/>
  <c r="H961" i="1"/>
  <c r="H214" i="1"/>
  <c r="H230" i="1"/>
  <c r="H222" i="1"/>
  <c r="H232" i="1"/>
  <c r="H224" i="1"/>
  <c r="H210" i="1"/>
  <c r="H226" i="1"/>
  <c r="H218" i="1"/>
  <c r="H965" i="1"/>
  <c r="H956" i="1"/>
  <c r="H966" i="1"/>
  <c r="H957" i="1"/>
  <c r="H964" i="1"/>
  <c r="H955" i="1"/>
  <c r="H968" i="1"/>
  <c r="H959" i="1"/>
  <c r="H215" i="1"/>
  <c r="H231" i="1"/>
  <c r="H223" i="1"/>
  <c r="H404" i="1"/>
  <c r="H416" i="1"/>
  <c r="H441" i="1"/>
  <c r="H429" i="1"/>
  <c r="H465" i="1"/>
  <c r="H476" i="1"/>
  <c r="H464" i="1"/>
  <c r="H216" i="1"/>
  <c r="H448" i="1"/>
  <c r="H771" i="1"/>
  <c r="H780" i="1"/>
  <c r="H1077" i="1"/>
  <c r="H449" i="1"/>
  <c r="H765" i="1"/>
  <c r="H762" i="1"/>
  <c r="H422" i="1"/>
  <c r="H430" i="1"/>
  <c r="H1090" i="1"/>
  <c r="H462" i="1"/>
  <c r="H767" i="1"/>
  <c r="H1099" i="1"/>
  <c r="H442" i="1"/>
  <c r="H209" i="1"/>
  <c r="H458" i="1"/>
  <c r="H466" i="1"/>
  <c r="H411" i="1"/>
  <c r="H413" i="1"/>
  <c r="H424" i="1"/>
  <c r="H1096" i="1"/>
  <c r="H766" i="1"/>
  <c r="H406" i="1"/>
  <c r="H415" i="1"/>
  <c r="H1098" i="1"/>
  <c r="H1101" i="1"/>
  <c r="H461" i="1"/>
  <c r="H1073" i="1"/>
  <c r="H459" i="1"/>
  <c r="H493" i="1"/>
  <c r="H445" i="1"/>
  <c r="H426" i="1"/>
  <c r="H1086" i="1"/>
  <c r="H435" i="1"/>
  <c r="H414" i="1"/>
  <c r="H432" i="1"/>
  <c r="H1075" i="1"/>
  <c r="H443" i="1"/>
  <c r="H1097" i="1"/>
  <c r="H450" i="1"/>
  <c r="H438" i="1"/>
  <c r="H1088" i="1"/>
  <c r="H427" i="1"/>
  <c r="H410" i="1"/>
  <c r="H412" i="1"/>
  <c r="H460" i="1"/>
  <c r="H1087" i="1"/>
  <c r="H455" i="1"/>
  <c r="H407" i="1"/>
  <c r="H456" i="1"/>
  <c r="H1078" i="1"/>
  <c r="H470" i="1"/>
  <c r="H213" i="1"/>
  <c r="H447" i="1"/>
  <c r="H774" i="1"/>
  <c r="H768" i="1"/>
  <c r="G7" i="1"/>
  <c r="F7" i="1"/>
  <c r="H425" i="1"/>
  <c r="H463" i="1"/>
  <c r="H452" i="1"/>
  <c r="H451" i="1"/>
  <c r="H446" i="1"/>
  <c r="H764" i="1"/>
  <c r="H444" i="1"/>
  <c r="H431" i="1"/>
  <c r="H409" i="1"/>
  <c r="H1092" i="1"/>
  <c r="H457" i="1"/>
  <c r="H421" i="1"/>
  <c r="H419" i="1"/>
  <c r="H1100" i="1"/>
  <c r="H408" i="1"/>
  <c r="H770" i="1"/>
  <c r="H772" i="1"/>
  <c r="G8" i="1"/>
  <c r="F8" i="1"/>
  <c r="F9" i="1"/>
  <c r="G9" i="1"/>
  <c r="G10" i="1"/>
  <c r="F10" i="1"/>
  <c r="G11" i="1"/>
  <c r="F11" i="1"/>
  <c r="F12" i="1"/>
  <c r="G12" i="1"/>
  <c r="F13" i="1"/>
  <c r="G13" i="1"/>
  <c r="F14" i="1"/>
  <c r="G14" i="1"/>
  <c r="F15" i="1"/>
  <c r="G15" i="1"/>
  <c r="F16" i="1"/>
  <c r="G16" i="1"/>
  <c r="F17" i="1"/>
  <c r="G17" i="1"/>
  <c r="F18" i="1"/>
  <c r="G18" i="1"/>
  <c r="G19" i="1"/>
  <c r="F19" i="1"/>
  <c r="F20" i="1"/>
  <c r="G20" i="1"/>
  <c r="F21" i="1"/>
  <c r="G21" i="1"/>
  <c r="G22" i="1"/>
  <c r="F22" i="1"/>
  <c r="F23" i="1"/>
  <c r="G23" i="1"/>
  <c r="F24" i="1"/>
  <c r="G24" i="1"/>
  <c r="G25" i="1"/>
  <c r="F25" i="1"/>
  <c r="G26" i="1"/>
  <c r="F26" i="1"/>
  <c r="G30" i="1"/>
  <c r="F30" i="1"/>
  <c r="G31" i="1"/>
  <c r="F31" i="1"/>
  <c r="F32" i="1"/>
  <c r="G32" i="1"/>
  <c r="G33" i="1"/>
  <c r="F33" i="1"/>
  <c r="F34" i="1"/>
  <c r="G34" i="1"/>
  <c r="G35" i="1"/>
  <c r="F35" i="1"/>
  <c r="G36" i="1"/>
  <c r="F36" i="1"/>
  <c r="G37" i="1"/>
  <c r="F37" i="1"/>
  <c r="F38" i="1"/>
  <c r="G38" i="1"/>
  <c r="G39" i="1"/>
  <c r="F39" i="1"/>
  <c r="G40" i="1"/>
  <c r="F40" i="1"/>
  <c r="F41" i="1"/>
  <c r="G41" i="1"/>
  <c r="F42" i="1"/>
  <c r="G42" i="1"/>
  <c r="F43" i="1"/>
  <c r="G43" i="1"/>
  <c r="G44" i="1"/>
  <c r="F44" i="1"/>
  <c r="G45" i="1"/>
  <c r="F45" i="1"/>
  <c r="F46" i="1"/>
  <c r="G46" i="1"/>
  <c r="G47" i="1"/>
  <c r="F47" i="1"/>
  <c r="F48" i="1"/>
  <c r="G48" i="1"/>
  <c r="G49" i="1"/>
  <c r="F49" i="1"/>
  <c r="F50" i="1"/>
  <c r="G50" i="1"/>
  <c r="G51" i="1"/>
  <c r="F51" i="1"/>
  <c r="F52" i="1"/>
  <c r="G52" i="1"/>
  <c r="G53" i="1"/>
  <c r="F53" i="1"/>
  <c r="F54" i="1"/>
  <c r="G54" i="1"/>
  <c r="G55" i="1"/>
  <c r="F55" i="1"/>
  <c r="F56" i="1"/>
  <c r="G56" i="1"/>
  <c r="G57" i="1"/>
  <c r="F57" i="1"/>
  <c r="F58" i="1"/>
  <c r="G58" i="1"/>
  <c r="F59" i="1"/>
  <c r="G59" i="1"/>
  <c r="G60" i="1"/>
  <c r="F60" i="1"/>
  <c r="G61" i="1"/>
  <c r="F61" i="1"/>
  <c r="F62" i="1"/>
  <c r="G62" i="1"/>
  <c r="G63" i="1"/>
  <c r="F63" i="1"/>
  <c r="G64" i="1"/>
  <c r="F64" i="1"/>
  <c r="G65" i="1"/>
  <c r="F65" i="1"/>
  <c r="F66" i="1"/>
  <c r="G66" i="1"/>
  <c r="G67" i="1"/>
  <c r="F67" i="1"/>
  <c r="G68" i="1"/>
  <c r="F68" i="1"/>
  <c r="G69" i="1"/>
  <c r="F69" i="1"/>
  <c r="F70" i="1"/>
  <c r="G70" i="1"/>
  <c r="F71" i="1"/>
  <c r="G71" i="1"/>
  <c r="G72" i="1"/>
  <c r="F72" i="1"/>
  <c r="G75" i="1"/>
  <c r="F75" i="1"/>
  <c r="F76" i="1"/>
  <c r="G76" i="1"/>
  <c r="F77" i="1"/>
  <c r="G77" i="1"/>
  <c r="F78" i="1"/>
  <c r="G78" i="1"/>
  <c r="G79" i="1"/>
  <c r="F79" i="1"/>
  <c r="F80" i="1"/>
  <c r="G80" i="1"/>
  <c r="G81" i="1"/>
  <c r="F81" i="1"/>
  <c r="F82" i="1"/>
  <c r="G82" i="1"/>
  <c r="G83" i="1"/>
  <c r="F83" i="1"/>
  <c r="F84" i="1"/>
  <c r="G84" i="1"/>
  <c r="G85" i="1"/>
  <c r="F85" i="1"/>
  <c r="G86" i="1"/>
  <c r="F86" i="1"/>
  <c r="F87" i="1"/>
  <c r="G87" i="1"/>
  <c r="F88" i="1"/>
  <c r="G88" i="1"/>
  <c r="G89" i="1"/>
  <c r="F89" i="1"/>
  <c r="F90" i="1"/>
  <c r="G90" i="1"/>
  <c r="G91" i="1"/>
  <c r="F91" i="1"/>
  <c r="G92" i="1"/>
  <c r="F92" i="1"/>
  <c r="F93" i="1"/>
  <c r="G93" i="1"/>
  <c r="F94" i="1"/>
  <c r="G94" i="1"/>
  <c r="F95" i="1"/>
  <c r="G95" i="1"/>
  <c r="G96" i="1"/>
  <c r="F96" i="1"/>
  <c r="G97" i="1"/>
  <c r="F97" i="1"/>
  <c r="F98" i="1"/>
  <c r="G98" i="1"/>
  <c r="G99" i="1"/>
  <c r="F99" i="1"/>
  <c r="G100" i="1"/>
  <c r="F100" i="1"/>
  <c r="G101" i="1"/>
  <c r="F101" i="1"/>
  <c r="G102" i="1"/>
  <c r="F102" i="1"/>
  <c r="F103" i="1"/>
  <c r="G103" i="1"/>
  <c r="F104" i="1"/>
  <c r="G104" i="1"/>
  <c r="G105" i="1"/>
  <c r="F105" i="1"/>
  <c r="G106" i="1"/>
  <c r="F106" i="1"/>
  <c r="G109" i="1"/>
  <c r="F109" i="1"/>
  <c r="F110" i="1"/>
  <c r="G110" i="1"/>
  <c r="G111" i="1"/>
  <c r="F111" i="1"/>
  <c r="G114" i="1"/>
  <c r="F114" i="1"/>
  <c r="G115" i="1"/>
  <c r="F115" i="1"/>
  <c r="F116" i="1"/>
  <c r="G116" i="1"/>
  <c r="G117" i="1"/>
  <c r="F117" i="1"/>
  <c r="G118" i="1"/>
  <c r="F118" i="1"/>
  <c r="F119" i="1"/>
  <c r="G119" i="1"/>
  <c r="F120" i="1"/>
  <c r="G120" i="1"/>
  <c r="F121" i="1"/>
  <c r="G121" i="1"/>
  <c r="F122" i="1"/>
  <c r="G122" i="1"/>
  <c r="G123" i="1"/>
  <c r="F123" i="1"/>
  <c r="F124" i="1"/>
  <c r="G124" i="1"/>
  <c r="F125" i="1"/>
  <c r="G125" i="1"/>
  <c r="F126" i="1"/>
  <c r="G126" i="1"/>
  <c r="G127" i="1"/>
  <c r="F127" i="1"/>
  <c r="F128" i="1"/>
  <c r="G128" i="1"/>
  <c r="G129" i="1"/>
  <c r="F129" i="1"/>
  <c r="F130" i="1"/>
  <c r="G130" i="1"/>
  <c r="F131" i="1"/>
  <c r="G131" i="1"/>
  <c r="G132" i="1"/>
  <c r="F132" i="1"/>
  <c r="G133" i="1"/>
  <c r="F133" i="1"/>
  <c r="F134" i="1"/>
  <c r="G134" i="1"/>
  <c r="G135" i="1"/>
  <c r="F135" i="1"/>
  <c r="F136" i="1"/>
  <c r="G136" i="1"/>
  <c r="G137" i="1"/>
  <c r="F137" i="1"/>
  <c r="G138" i="1"/>
  <c r="F138" i="1"/>
  <c r="F139" i="1"/>
  <c r="G139" i="1"/>
  <c r="F140" i="1"/>
  <c r="G140" i="1"/>
  <c r="F141" i="1"/>
  <c r="G141" i="1"/>
  <c r="G142" i="1"/>
  <c r="F142" i="1"/>
  <c r="F143" i="1"/>
  <c r="G143" i="1"/>
  <c r="G144" i="1"/>
  <c r="F144" i="1"/>
  <c r="F145" i="1"/>
  <c r="G145" i="1"/>
  <c r="G146" i="1"/>
  <c r="F146" i="1"/>
  <c r="G147" i="1"/>
  <c r="F147" i="1"/>
  <c r="G150" i="1"/>
  <c r="F150" i="1"/>
  <c r="G151" i="1"/>
  <c r="F151" i="1"/>
  <c r="F152" i="1"/>
  <c r="G152" i="1"/>
  <c r="F153" i="1"/>
  <c r="G153" i="1"/>
  <c r="G154" i="1"/>
  <c r="F154" i="1"/>
  <c r="G155" i="1"/>
  <c r="F155" i="1"/>
  <c r="F156" i="1"/>
  <c r="G156" i="1"/>
  <c r="F157" i="1"/>
  <c r="G157" i="1"/>
  <c r="F158" i="1"/>
  <c r="G158" i="1"/>
  <c r="F159" i="1"/>
  <c r="G159" i="1"/>
  <c r="G160" i="1"/>
  <c r="F160" i="1"/>
  <c r="G161" i="1"/>
  <c r="F161" i="1"/>
  <c r="G162" i="1"/>
  <c r="F162" i="1"/>
  <c r="G163" i="1"/>
  <c r="F163" i="1"/>
  <c r="F164" i="1"/>
  <c r="G164" i="1"/>
  <c r="F165" i="1"/>
  <c r="G165" i="1"/>
  <c r="F166" i="1"/>
  <c r="G166" i="1"/>
  <c r="F167" i="1"/>
  <c r="G167" i="1"/>
  <c r="F168" i="1"/>
  <c r="G168" i="1"/>
  <c r="F169" i="1"/>
  <c r="G169" i="1"/>
  <c r="F170" i="1"/>
  <c r="G170" i="1"/>
  <c r="G171" i="1"/>
  <c r="F171" i="1"/>
  <c r="G175" i="1"/>
  <c r="F175" i="1"/>
  <c r="G176" i="1"/>
  <c r="F176" i="1"/>
  <c r="F177" i="1"/>
  <c r="G177" i="1"/>
  <c r="F178" i="1"/>
  <c r="G178" i="1"/>
  <c r="F179" i="1"/>
  <c r="G179" i="1"/>
  <c r="G180" i="1"/>
  <c r="F180" i="1"/>
  <c r="G181" i="1"/>
  <c r="F181" i="1"/>
  <c r="F182" i="1"/>
  <c r="G182" i="1"/>
  <c r="F183" i="1"/>
  <c r="G183" i="1"/>
  <c r="G184" i="1"/>
  <c r="F184" i="1"/>
  <c r="G185" i="1"/>
  <c r="F185" i="1"/>
  <c r="G186" i="1"/>
  <c r="F186" i="1"/>
  <c r="F187" i="1"/>
  <c r="G187" i="1"/>
  <c r="F188" i="1"/>
  <c r="G188" i="1"/>
  <c r="F189" i="1"/>
  <c r="G189" i="1"/>
  <c r="G190" i="1"/>
  <c r="F190" i="1"/>
  <c r="F191" i="1"/>
  <c r="G191" i="1"/>
  <c r="G192" i="1"/>
  <c r="F192" i="1"/>
  <c r="F193" i="1"/>
  <c r="G193" i="1"/>
  <c r="G194" i="1"/>
  <c r="F194" i="1"/>
  <c r="F195" i="1"/>
  <c r="G195" i="1"/>
  <c r="G198" i="1"/>
  <c r="F198" i="1"/>
  <c r="G199" i="1"/>
  <c r="F199" i="1"/>
  <c r="G200" i="1"/>
  <c r="F200" i="1"/>
  <c r="F201" i="1"/>
  <c r="G201" i="1"/>
  <c r="F202" i="1"/>
  <c r="G202" i="1"/>
  <c r="G203" i="1"/>
  <c r="F203" i="1"/>
  <c r="G204" i="1"/>
  <c r="F204" i="1"/>
  <c r="F205" i="1"/>
  <c r="G205" i="1"/>
  <c r="F206" i="1"/>
  <c r="G206" i="1"/>
  <c r="F207" i="1"/>
  <c r="G207" i="1"/>
  <c r="F208" i="1"/>
  <c r="G208" i="1"/>
  <c r="F209" i="1"/>
  <c r="G209" i="1"/>
  <c r="F210" i="1"/>
  <c r="G210" i="1"/>
  <c r="F211" i="1"/>
  <c r="G211" i="1"/>
  <c r="F212" i="1"/>
  <c r="G212" i="1"/>
  <c r="F213" i="1"/>
  <c r="G213" i="1"/>
  <c r="G214" i="1"/>
  <c r="F214" i="1"/>
  <c r="G215" i="1"/>
  <c r="F215" i="1"/>
  <c r="F216" i="1"/>
  <c r="G216" i="1"/>
  <c r="F217" i="1"/>
  <c r="G217" i="1"/>
  <c r="F218" i="1"/>
  <c r="G218" i="1"/>
  <c r="G219" i="1"/>
  <c r="F219" i="1"/>
  <c r="F220" i="1"/>
  <c r="G220" i="1"/>
  <c r="F221" i="1"/>
  <c r="G221" i="1"/>
  <c r="G222" i="1"/>
  <c r="F222" i="1"/>
  <c r="F223" i="1"/>
  <c r="G223" i="1"/>
  <c r="G224" i="1"/>
  <c r="F224" i="1"/>
  <c r="F225" i="1"/>
  <c r="G225" i="1"/>
  <c r="G226" i="1"/>
  <c r="F226" i="1"/>
  <c r="G227" i="1"/>
  <c r="F227" i="1"/>
  <c r="G228" i="1"/>
  <c r="F228" i="1"/>
  <c r="F229" i="1"/>
  <c r="G229" i="1"/>
  <c r="G230" i="1"/>
  <c r="F230" i="1"/>
  <c r="G231" i="1"/>
  <c r="F231" i="1"/>
  <c r="F232" i="1"/>
  <c r="G232" i="1"/>
  <c r="F233" i="1"/>
  <c r="G233" i="1"/>
  <c r="F234" i="1"/>
  <c r="G234" i="1"/>
  <c r="F235" i="1"/>
  <c r="G235" i="1"/>
  <c r="F236" i="1"/>
  <c r="G236" i="1"/>
  <c r="G237" i="1"/>
  <c r="F237" i="1"/>
  <c r="F238" i="1"/>
  <c r="G238" i="1"/>
  <c r="F239" i="1"/>
  <c r="G239" i="1"/>
  <c r="G240" i="1"/>
  <c r="F240" i="1"/>
  <c r="F241" i="1"/>
  <c r="G241" i="1"/>
  <c r="G242" i="1"/>
  <c r="F242" i="1"/>
  <c r="G243" i="1"/>
  <c r="F243" i="1"/>
  <c r="G244" i="1"/>
  <c r="F244" i="1"/>
  <c r="F247" i="1"/>
  <c r="G247" i="1"/>
  <c r="G248" i="1"/>
  <c r="F248" i="1"/>
  <c r="F249" i="1"/>
  <c r="G249" i="1"/>
  <c r="F250" i="1"/>
  <c r="G250" i="1"/>
  <c r="G251" i="1"/>
  <c r="F251" i="1"/>
  <c r="F252" i="1"/>
  <c r="G252" i="1"/>
  <c r="G253" i="1"/>
  <c r="F253" i="1"/>
  <c r="F254" i="1"/>
  <c r="G254" i="1"/>
  <c r="F255" i="1"/>
  <c r="G255" i="1"/>
  <c r="G256" i="1"/>
  <c r="F256" i="1"/>
  <c r="F257" i="1"/>
  <c r="G257" i="1"/>
  <c r="G258" i="1"/>
  <c r="F258" i="1"/>
  <c r="G259" i="1"/>
  <c r="F259" i="1"/>
  <c r="G260" i="1"/>
  <c r="F260" i="1"/>
  <c r="G261" i="1"/>
  <c r="F261" i="1"/>
  <c r="G262" i="1"/>
  <c r="F262" i="1"/>
  <c r="G263" i="1"/>
  <c r="F263" i="1"/>
  <c r="G264" i="1"/>
  <c r="F264" i="1"/>
  <c r="G265" i="1"/>
  <c r="F265" i="1"/>
  <c r="G266" i="1"/>
  <c r="F266" i="1"/>
  <c r="G267" i="1"/>
  <c r="F267" i="1"/>
  <c r="F268" i="1"/>
  <c r="G268" i="1"/>
  <c r="F269" i="1"/>
  <c r="G269" i="1"/>
  <c r="F270" i="1"/>
  <c r="G270" i="1"/>
  <c r="G271" i="1"/>
  <c r="F271" i="1"/>
  <c r="F272" i="1"/>
  <c r="G272" i="1"/>
  <c r="F273" i="1"/>
  <c r="G273" i="1"/>
  <c r="F274" i="1"/>
  <c r="G274" i="1"/>
  <c r="G275" i="1"/>
  <c r="F275" i="1"/>
  <c r="F276" i="1"/>
  <c r="G276" i="1"/>
  <c r="G277" i="1"/>
  <c r="F277" i="1"/>
  <c r="F281" i="1"/>
  <c r="G281" i="1"/>
  <c r="F282" i="1"/>
  <c r="G282" i="1"/>
  <c r="G283" i="1"/>
  <c r="F283" i="1"/>
  <c r="G284" i="1"/>
  <c r="F284" i="1"/>
  <c r="F285" i="1"/>
  <c r="G285" i="1"/>
  <c r="F288" i="1"/>
  <c r="G288" i="1"/>
  <c r="G289" i="1"/>
  <c r="F289" i="1"/>
  <c r="G290" i="1"/>
  <c r="F290" i="1"/>
  <c r="F291" i="1"/>
  <c r="G291" i="1"/>
  <c r="G292" i="1"/>
  <c r="F292" i="1"/>
  <c r="F295" i="1"/>
  <c r="G295" i="1"/>
  <c r="F296" i="1"/>
  <c r="G296" i="1"/>
  <c r="F297" i="1"/>
  <c r="G297" i="1"/>
  <c r="G298" i="1"/>
  <c r="F298" i="1"/>
  <c r="F299" i="1"/>
  <c r="G299" i="1"/>
  <c r="F300" i="1"/>
  <c r="G300" i="1"/>
  <c r="G301" i="1"/>
  <c r="F301" i="1"/>
  <c r="F302" i="1"/>
  <c r="G302" i="1"/>
  <c r="G303" i="1"/>
  <c r="F303" i="1"/>
  <c r="G304" i="1"/>
  <c r="F304" i="1"/>
  <c r="F305" i="1"/>
  <c r="G305" i="1"/>
  <c r="F306" i="1"/>
  <c r="G306" i="1"/>
  <c r="G307" i="1"/>
  <c r="F307" i="1"/>
  <c r="F308" i="1"/>
  <c r="G308" i="1"/>
  <c r="F309" i="1"/>
  <c r="G309" i="1"/>
  <c r="G310" i="1"/>
  <c r="F310" i="1"/>
  <c r="G311" i="1"/>
  <c r="F311" i="1"/>
  <c r="G312" i="1"/>
  <c r="F312" i="1"/>
  <c r="F313" i="1"/>
  <c r="G313" i="1"/>
  <c r="F314" i="1"/>
  <c r="G314" i="1"/>
  <c r="G315" i="1"/>
  <c r="F315" i="1"/>
  <c r="F316" i="1"/>
  <c r="G316" i="1"/>
  <c r="G317" i="1"/>
  <c r="F317" i="1"/>
  <c r="F318" i="1"/>
  <c r="G318" i="1"/>
  <c r="F319" i="1"/>
  <c r="G319" i="1"/>
  <c r="F320" i="1"/>
  <c r="G320" i="1"/>
  <c r="G321" i="1"/>
  <c r="F321" i="1"/>
  <c r="F322" i="1"/>
  <c r="G322" i="1"/>
  <c r="F323" i="1"/>
  <c r="G323" i="1"/>
  <c r="G324" i="1"/>
  <c r="F324" i="1"/>
  <c r="G325" i="1"/>
  <c r="F325" i="1"/>
  <c r="F326" i="1"/>
  <c r="G326" i="1"/>
  <c r="F327" i="1"/>
  <c r="G327" i="1"/>
  <c r="G328" i="1"/>
  <c r="F328" i="1"/>
  <c r="F329" i="1"/>
  <c r="G329" i="1"/>
  <c r="F330" i="1"/>
  <c r="G330" i="1"/>
  <c r="F331" i="1"/>
  <c r="G331" i="1"/>
  <c r="G332" i="1"/>
  <c r="F332" i="1"/>
  <c r="F333" i="1"/>
  <c r="G333" i="1"/>
  <c r="F334" i="1"/>
  <c r="G334" i="1"/>
  <c r="F335" i="1"/>
  <c r="G335" i="1"/>
  <c r="F336" i="1"/>
  <c r="G336" i="1"/>
  <c r="F337" i="1"/>
  <c r="G337" i="1"/>
  <c r="F338" i="1"/>
  <c r="G338" i="1"/>
  <c r="G339" i="1"/>
  <c r="F339" i="1"/>
  <c r="F340" i="1"/>
  <c r="G340" i="1"/>
  <c r="F341" i="1"/>
  <c r="G341" i="1"/>
  <c r="G342" i="1"/>
  <c r="F342" i="1"/>
  <c r="G343" i="1"/>
  <c r="F343" i="1"/>
  <c r="G344" i="1"/>
  <c r="F344" i="1"/>
  <c r="G345" i="1"/>
  <c r="F345" i="1"/>
  <c r="G346" i="1"/>
  <c r="F346" i="1"/>
  <c r="G347" i="1"/>
  <c r="F347" i="1"/>
  <c r="G348" i="1"/>
  <c r="F348" i="1"/>
  <c r="G349" i="1"/>
  <c r="F349" i="1"/>
  <c r="F350" i="1"/>
  <c r="G350" i="1"/>
  <c r="F351" i="1"/>
  <c r="G351" i="1"/>
  <c r="G352" i="1"/>
  <c r="F352" i="1"/>
  <c r="G353" i="1"/>
  <c r="F353" i="1"/>
  <c r="F354" i="1"/>
  <c r="G354" i="1"/>
  <c r="G355" i="1"/>
  <c r="F355" i="1"/>
  <c r="G356" i="1"/>
  <c r="F356" i="1"/>
  <c r="F357" i="1"/>
  <c r="G357" i="1"/>
  <c r="G358" i="1"/>
  <c r="F358" i="1"/>
  <c r="G359" i="1"/>
  <c r="F359" i="1"/>
  <c r="G360" i="1"/>
  <c r="F360" i="1"/>
  <c r="F361" i="1"/>
  <c r="G361" i="1"/>
  <c r="F362" i="1"/>
  <c r="G362" i="1"/>
  <c r="F363" i="1"/>
  <c r="G363" i="1"/>
  <c r="G364" i="1"/>
  <c r="F364" i="1"/>
  <c r="G365" i="1"/>
  <c r="F365" i="1"/>
  <c r="F366" i="1"/>
  <c r="G366" i="1"/>
  <c r="G367" i="1"/>
  <c r="F367" i="1"/>
  <c r="G368" i="1"/>
  <c r="F368" i="1"/>
  <c r="F369" i="1"/>
  <c r="G369" i="1"/>
  <c r="G370" i="1"/>
  <c r="F370" i="1"/>
  <c r="G371" i="1"/>
  <c r="F371" i="1"/>
  <c r="G372" i="1"/>
  <c r="F372" i="1"/>
  <c r="F373" i="1"/>
  <c r="G373" i="1"/>
  <c r="F374" i="1"/>
  <c r="G374" i="1"/>
  <c r="G375" i="1"/>
  <c r="F375" i="1"/>
  <c r="F376" i="1"/>
  <c r="G376" i="1"/>
  <c r="G377" i="1"/>
  <c r="F377" i="1"/>
  <c r="G381" i="1"/>
  <c r="F381" i="1"/>
  <c r="F382" i="1"/>
  <c r="G382" i="1"/>
  <c r="G383" i="1"/>
  <c r="F383" i="1"/>
  <c r="F384" i="1"/>
  <c r="G384" i="1"/>
  <c r="F385" i="1"/>
  <c r="G385" i="1"/>
  <c r="F386" i="1"/>
  <c r="G386" i="1"/>
  <c r="F387" i="1"/>
  <c r="G387" i="1"/>
  <c r="F388" i="1"/>
  <c r="G388" i="1"/>
  <c r="F389" i="1"/>
  <c r="G389" i="1"/>
  <c r="G390" i="1"/>
  <c r="F390" i="1"/>
  <c r="F391" i="1"/>
  <c r="G391" i="1"/>
  <c r="G392" i="1"/>
  <c r="F392" i="1"/>
  <c r="G393" i="1"/>
  <c r="F393" i="1"/>
  <c r="G394" i="1"/>
  <c r="F394" i="1"/>
  <c r="G395" i="1"/>
  <c r="F395" i="1"/>
  <c r="G396" i="1"/>
  <c r="F396" i="1"/>
  <c r="F397" i="1"/>
  <c r="G397" i="1"/>
  <c r="F398" i="1"/>
  <c r="G398" i="1"/>
  <c r="G399" i="1"/>
  <c r="F399" i="1"/>
  <c r="G400" i="1"/>
  <c r="F400" i="1"/>
  <c r="G401" i="1"/>
  <c r="F401" i="1"/>
  <c r="G402" i="1"/>
  <c r="F402" i="1"/>
  <c r="G403" i="1"/>
  <c r="F403" i="1"/>
  <c r="F404" i="1"/>
  <c r="G404" i="1"/>
  <c r="G405" i="1"/>
  <c r="F405" i="1"/>
  <c r="G406" i="1"/>
  <c r="F406" i="1"/>
  <c r="G407" i="1"/>
  <c r="F407" i="1"/>
  <c r="F408" i="1"/>
  <c r="G408" i="1"/>
  <c r="G409" i="1"/>
  <c r="F409" i="1"/>
  <c r="F410" i="1"/>
  <c r="G410" i="1"/>
  <c r="G411" i="1"/>
  <c r="F411" i="1"/>
  <c r="G412" i="1"/>
  <c r="F412" i="1"/>
  <c r="F413" i="1"/>
  <c r="G413" i="1"/>
  <c r="G414" i="1"/>
  <c r="F414" i="1"/>
  <c r="G415" i="1"/>
  <c r="F415" i="1"/>
  <c r="G416" i="1"/>
  <c r="F416" i="1"/>
  <c r="F417" i="1"/>
  <c r="G417" i="1"/>
  <c r="F418" i="1"/>
  <c r="G418" i="1"/>
  <c r="G419" i="1"/>
  <c r="F419" i="1"/>
  <c r="F420" i="1"/>
  <c r="G420" i="1"/>
  <c r="G421" i="1"/>
  <c r="F421" i="1"/>
  <c r="G422" i="1"/>
  <c r="F422" i="1"/>
  <c r="F423" i="1"/>
  <c r="G423" i="1"/>
  <c r="F424" i="1"/>
  <c r="G424" i="1"/>
  <c r="G425" i="1"/>
  <c r="F425" i="1"/>
  <c r="G426" i="1"/>
  <c r="F426" i="1"/>
  <c r="G427" i="1"/>
  <c r="F427" i="1"/>
  <c r="F428" i="1"/>
  <c r="G428" i="1"/>
  <c r="G429" i="1"/>
  <c r="F429" i="1"/>
  <c r="G430" i="1"/>
  <c r="F430" i="1"/>
  <c r="F431" i="1"/>
  <c r="G431" i="1"/>
  <c r="G432" i="1"/>
  <c r="F432" i="1"/>
  <c r="F433" i="1"/>
  <c r="G433" i="1"/>
  <c r="G434" i="1"/>
  <c r="F434" i="1"/>
  <c r="G435" i="1"/>
  <c r="F435" i="1"/>
  <c r="F436" i="1"/>
  <c r="G436" i="1"/>
  <c r="G437" i="1"/>
  <c r="F437" i="1"/>
  <c r="G438" i="1"/>
  <c r="F438" i="1"/>
  <c r="F439" i="1"/>
  <c r="G439" i="1"/>
  <c r="F440" i="1"/>
  <c r="G440" i="1"/>
  <c r="G441" i="1"/>
  <c r="F441" i="1"/>
  <c r="F442" i="1"/>
  <c r="G442" i="1"/>
  <c r="F443" i="1"/>
  <c r="G443" i="1"/>
  <c r="F444" i="1"/>
  <c r="G444" i="1"/>
  <c r="F445" i="1"/>
  <c r="G445" i="1"/>
  <c r="F446" i="1"/>
  <c r="G446" i="1"/>
  <c r="F447" i="1"/>
  <c r="G447" i="1"/>
  <c r="G448" i="1"/>
  <c r="F448" i="1"/>
  <c r="F449" i="1"/>
  <c r="G449" i="1"/>
  <c r="G450" i="1"/>
  <c r="F450" i="1"/>
  <c r="F451" i="1"/>
  <c r="G451" i="1"/>
  <c r="F452" i="1"/>
  <c r="G452" i="1"/>
  <c r="G453" i="1"/>
  <c r="F453" i="1"/>
  <c r="G454" i="1"/>
  <c r="F454" i="1"/>
  <c r="G455" i="1"/>
  <c r="F455" i="1"/>
  <c r="F456" i="1"/>
  <c r="G456" i="1"/>
  <c r="F457" i="1"/>
  <c r="G457" i="1"/>
  <c r="G458" i="1"/>
  <c r="F458" i="1"/>
  <c r="F459" i="1"/>
  <c r="G459" i="1"/>
  <c r="G460" i="1"/>
  <c r="F460" i="1"/>
  <c r="F461" i="1"/>
  <c r="G461" i="1"/>
  <c r="G462" i="1"/>
  <c r="F462" i="1"/>
  <c r="F463" i="1"/>
  <c r="G463" i="1"/>
  <c r="G464" i="1"/>
  <c r="F464" i="1"/>
  <c r="G465" i="1"/>
  <c r="F465" i="1"/>
  <c r="F466" i="1"/>
  <c r="G466" i="1"/>
  <c r="G467" i="1"/>
  <c r="F467" i="1"/>
  <c r="G468" i="1"/>
  <c r="F468" i="1"/>
  <c r="F469" i="1"/>
  <c r="G469" i="1"/>
  <c r="F470" i="1"/>
  <c r="G470" i="1"/>
  <c r="F471" i="1"/>
  <c r="G471" i="1"/>
  <c r="G472" i="1"/>
  <c r="F472" i="1"/>
  <c r="F473" i="1"/>
  <c r="G473" i="1"/>
  <c r="F474" i="1"/>
  <c r="G474" i="1"/>
  <c r="F475" i="1"/>
  <c r="G475" i="1"/>
  <c r="F476" i="1"/>
  <c r="G476" i="1"/>
  <c r="G477" i="1"/>
  <c r="F477" i="1"/>
  <c r="F478" i="1"/>
  <c r="G478" i="1"/>
  <c r="F479" i="1"/>
  <c r="G479" i="1"/>
  <c r="F480" i="1"/>
  <c r="G480" i="1"/>
  <c r="F481" i="1"/>
  <c r="G481" i="1"/>
  <c r="F482" i="1"/>
  <c r="G482" i="1"/>
  <c r="F483" i="1"/>
  <c r="G483" i="1"/>
  <c r="G484" i="1"/>
  <c r="F484" i="1"/>
  <c r="G485" i="1"/>
  <c r="F485" i="1"/>
  <c r="F486" i="1"/>
  <c r="G486" i="1"/>
  <c r="G487" i="1"/>
  <c r="F487" i="1"/>
  <c r="F488" i="1"/>
  <c r="G488" i="1"/>
  <c r="F489" i="1"/>
  <c r="G489" i="1"/>
  <c r="G490" i="1"/>
  <c r="F490" i="1"/>
  <c r="G493" i="1"/>
  <c r="F493" i="1"/>
  <c r="G494" i="1"/>
  <c r="F494" i="1"/>
  <c r="G495" i="1"/>
  <c r="F495" i="1"/>
  <c r="F496" i="1"/>
  <c r="G496" i="1"/>
  <c r="F497" i="1"/>
  <c r="G497" i="1"/>
  <c r="F498" i="1"/>
  <c r="G498" i="1"/>
  <c r="G499" i="1"/>
  <c r="F499" i="1"/>
  <c r="G500" i="1"/>
  <c r="F500" i="1"/>
  <c r="G501" i="1"/>
  <c r="F501" i="1"/>
  <c r="G502" i="1"/>
  <c r="F502" i="1"/>
  <c r="F503" i="1"/>
  <c r="G503" i="1"/>
  <c r="F504" i="1"/>
  <c r="G504" i="1"/>
  <c r="F505" i="1"/>
  <c r="G505" i="1"/>
  <c r="G506" i="1"/>
  <c r="F506" i="1"/>
  <c r="G507" i="1"/>
  <c r="F507" i="1"/>
  <c r="G508" i="1"/>
  <c r="F508" i="1"/>
  <c r="F509" i="1"/>
  <c r="G509" i="1"/>
  <c r="G510" i="1"/>
  <c r="F510" i="1"/>
  <c r="G511" i="1"/>
  <c r="F511" i="1"/>
  <c r="G512" i="1"/>
  <c r="F512" i="1"/>
  <c r="G513" i="1"/>
  <c r="F513" i="1"/>
  <c r="G514" i="1"/>
  <c r="F514" i="1"/>
  <c r="G515" i="1"/>
  <c r="F515" i="1"/>
  <c r="F516" i="1"/>
  <c r="G516" i="1"/>
  <c r="G517" i="1"/>
  <c r="F517" i="1"/>
  <c r="G518" i="1"/>
  <c r="F518" i="1"/>
  <c r="G519" i="1"/>
  <c r="F519" i="1"/>
  <c r="F520" i="1"/>
  <c r="G520" i="1"/>
  <c r="G521" i="1"/>
  <c r="F521" i="1"/>
  <c r="G522" i="1"/>
  <c r="F522" i="1"/>
  <c r="F523" i="1"/>
  <c r="G523" i="1"/>
  <c r="F524" i="1"/>
  <c r="G524" i="1"/>
  <c r="G525" i="1"/>
  <c r="F525" i="1"/>
  <c r="G526" i="1"/>
  <c r="F526" i="1"/>
  <c r="G527" i="1"/>
  <c r="F527" i="1"/>
  <c r="F528" i="1"/>
  <c r="G528" i="1"/>
  <c r="G529" i="1"/>
  <c r="F529" i="1"/>
  <c r="G530" i="1"/>
  <c r="F530" i="1"/>
  <c r="G531" i="1"/>
  <c r="F531" i="1"/>
  <c r="F532" i="1"/>
  <c r="G532" i="1"/>
  <c r="F533" i="1"/>
  <c r="G533" i="1"/>
  <c r="G534" i="1"/>
  <c r="F534" i="1"/>
  <c r="G535" i="1"/>
  <c r="F535" i="1"/>
  <c r="G536" i="1"/>
  <c r="F536" i="1"/>
  <c r="G537" i="1"/>
  <c r="F537" i="1"/>
  <c r="F538" i="1"/>
  <c r="G538" i="1"/>
  <c r="G539" i="1"/>
  <c r="F539" i="1"/>
  <c r="F540" i="1"/>
  <c r="G540" i="1"/>
  <c r="F541" i="1"/>
  <c r="G541" i="1"/>
  <c r="G542" i="1"/>
  <c r="F542" i="1"/>
  <c r="F543" i="1"/>
  <c r="G543" i="1"/>
  <c r="F544" i="1"/>
  <c r="G544" i="1"/>
  <c r="G545" i="1"/>
  <c r="F545" i="1"/>
  <c r="G546" i="1"/>
  <c r="F546" i="1"/>
  <c r="F547" i="1"/>
  <c r="G547" i="1"/>
  <c r="F548" i="1"/>
  <c r="G548" i="1"/>
  <c r="G549" i="1"/>
  <c r="F549" i="1"/>
  <c r="G550" i="1"/>
  <c r="F550" i="1"/>
  <c r="F551" i="1"/>
  <c r="G551" i="1"/>
  <c r="F552" i="1"/>
  <c r="G552" i="1"/>
  <c r="G553" i="1"/>
  <c r="F553" i="1"/>
  <c r="G554" i="1"/>
  <c r="F554" i="1"/>
  <c r="G555" i="1"/>
  <c r="F555" i="1"/>
  <c r="G556" i="1"/>
  <c r="F556" i="1"/>
  <c r="G557" i="1"/>
  <c r="F557" i="1"/>
  <c r="F558" i="1"/>
  <c r="G558" i="1"/>
  <c r="F559" i="1"/>
  <c r="G559" i="1"/>
  <c r="F560" i="1"/>
  <c r="G560" i="1"/>
  <c r="G561" i="1"/>
  <c r="F561" i="1"/>
  <c r="F562" i="1"/>
  <c r="G562" i="1"/>
  <c r="F563" i="1"/>
  <c r="G563" i="1"/>
  <c r="G564" i="1"/>
  <c r="F564" i="1"/>
  <c r="G565" i="1"/>
  <c r="F565" i="1"/>
  <c r="G566" i="1"/>
  <c r="F566" i="1"/>
  <c r="G567" i="1"/>
  <c r="F567" i="1"/>
  <c r="G568" i="1"/>
  <c r="F568" i="1"/>
  <c r="F569" i="1"/>
  <c r="G569" i="1"/>
  <c r="G570" i="1"/>
  <c r="F570" i="1"/>
  <c r="G571" i="1"/>
  <c r="F571" i="1"/>
  <c r="G572" i="1"/>
  <c r="F572" i="1"/>
  <c r="G573" i="1"/>
  <c r="F573" i="1"/>
  <c r="G574" i="1"/>
  <c r="F574" i="1"/>
  <c r="G575" i="1"/>
  <c r="F575" i="1"/>
  <c r="G576" i="1"/>
  <c r="F576" i="1"/>
  <c r="F577" i="1"/>
  <c r="G577" i="1"/>
  <c r="F578" i="1"/>
  <c r="G578" i="1"/>
  <c r="F579" i="1"/>
  <c r="G579" i="1"/>
  <c r="G580" i="1"/>
  <c r="F580" i="1"/>
  <c r="F581" i="1"/>
  <c r="G581" i="1"/>
  <c r="G582" i="1"/>
  <c r="F582" i="1"/>
  <c r="F583" i="1"/>
  <c r="G583" i="1"/>
  <c r="F584" i="1"/>
  <c r="G584" i="1"/>
  <c r="G585" i="1"/>
  <c r="F585" i="1"/>
  <c r="F586" i="1"/>
  <c r="G586" i="1"/>
  <c r="F587" i="1"/>
  <c r="G587" i="1"/>
  <c r="F588" i="1"/>
  <c r="G588" i="1"/>
  <c r="G589" i="1"/>
  <c r="F589" i="1"/>
  <c r="G590" i="1"/>
  <c r="F590" i="1"/>
  <c r="F591" i="1"/>
  <c r="G591" i="1"/>
  <c r="F592" i="1"/>
  <c r="G592" i="1"/>
  <c r="F593" i="1"/>
  <c r="G593" i="1"/>
  <c r="F594" i="1"/>
  <c r="G594" i="1"/>
  <c r="G595" i="1"/>
  <c r="F595" i="1"/>
  <c r="G596" i="1"/>
  <c r="F596" i="1"/>
  <c r="G597" i="1"/>
  <c r="F597" i="1"/>
  <c r="G598" i="1"/>
  <c r="F598" i="1"/>
  <c r="F599" i="1"/>
  <c r="G599" i="1"/>
  <c r="F600" i="1"/>
  <c r="G600" i="1"/>
  <c r="G601" i="1"/>
  <c r="F601" i="1"/>
  <c r="F602" i="1"/>
  <c r="G602" i="1"/>
  <c r="F603" i="1"/>
  <c r="G603" i="1"/>
  <c r="F604" i="1"/>
  <c r="G604" i="1"/>
  <c r="F605" i="1"/>
  <c r="G605" i="1"/>
  <c r="F606" i="1"/>
  <c r="G606" i="1"/>
  <c r="G607" i="1"/>
  <c r="F607" i="1"/>
  <c r="G608" i="1"/>
  <c r="F608" i="1"/>
  <c r="G609" i="1"/>
  <c r="F609" i="1"/>
  <c r="F610" i="1"/>
  <c r="G610" i="1"/>
  <c r="F611" i="1"/>
  <c r="G611" i="1"/>
  <c r="F612" i="1"/>
  <c r="G612" i="1"/>
  <c r="F613" i="1"/>
  <c r="G613" i="1"/>
  <c r="F614" i="1"/>
  <c r="G614" i="1"/>
  <c r="F615" i="1"/>
  <c r="G615" i="1"/>
  <c r="G616" i="1"/>
  <c r="F616" i="1"/>
  <c r="G617" i="1"/>
  <c r="F617" i="1"/>
  <c r="G618" i="1"/>
  <c r="F618" i="1"/>
  <c r="F619" i="1"/>
  <c r="G619" i="1"/>
  <c r="F620" i="1"/>
  <c r="G620" i="1"/>
  <c r="F621" i="1"/>
  <c r="G621" i="1"/>
  <c r="G622" i="1"/>
  <c r="F622" i="1"/>
  <c r="G623" i="1"/>
  <c r="F623" i="1"/>
  <c r="G624" i="1"/>
  <c r="F624" i="1"/>
  <c r="F625" i="1"/>
  <c r="G625" i="1"/>
  <c r="G626" i="1"/>
  <c r="F626" i="1"/>
  <c r="F627" i="1"/>
  <c r="G627" i="1"/>
  <c r="G628" i="1"/>
  <c r="F628" i="1"/>
  <c r="G629" i="1"/>
  <c r="F629" i="1"/>
  <c r="G630" i="1"/>
  <c r="F630" i="1"/>
  <c r="F631" i="1"/>
  <c r="G631" i="1"/>
  <c r="F632" i="1"/>
  <c r="G632" i="1"/>
  <c r="F633" i="1"/>
  <c r="G633" i="1"/>
  <c r="G634" i="1"/>
  <c r="F634" i="1"/>
  <c r="F635" i="1"/>
  <c r="G635" i="1"/>
  <c r="G636" i="1"/>
  <c r="F636" i="1"/>
  <c r="G637" i="1"/>
  <c r="F637" i="1"/>
  <c r="G638" i="1"/>
  <c r="F638" i="1"/>
  <c r="G639" i="1"/>
  <c r="F639" i="1"/>
  <c r="G640" i="1"/>
  <c r="F640" i="1"/>
  <c r="G641" i="1"/>
  <c r="F641" i="1"/>
  <c r="F642" i="1"/>
  <c r="G642" i="1"/>
  <c r="G643" i="1"/>
  <c r="F643" i="1"/>
  <c r="F646" i="1"/>
  <c r="G646" i="1"/>
  <c r="G647" i="1"/>
  <c r="F647" i="1"/>
  <c r="F648" i="1"/>
  <c r="G648" i="1"/>
  <c r="G649" i="1"/>
  <c r="F649" i="1"/>
  <c r="G650" i="1"/>
  <c r="F650" i="1"/>
  <c r="F651" i="1"/>
  <c r="G651" i="1"/>
  <c r="G652" i="1"/>
  <c r="F652" i="1"/>
  <c r="F653" i="1"/>
  <c r="G653" i="1"/>
  <c r="F654" i="1"/>
  <c r="G654" i="1"/>
  <c r="G655" i="1"/>
  <c r="F655" i="1"/>
  <c r="G656" i="1"/>
  <c r="F656" i="1"/>
  <c r="G657" i="1"/>
  <c r="F657" i="1"/>
  <c r="F658" i="1"/>
  <c r="G658" i="1"/>
  <c r="G659" i="1"/>
  <c r="F659" i="1"/>
  <c r="G660" i="1"/>
  <c r="F660" i="1"/>
  <c r="G661" i="1"/>
  <c r="F661" i="1"/>
  <c r="G662" i="1"/>
  <c r="F662" i="1"/>
  <c r="G663" i="1"/>
  <c r="F663" i="1"/>
  <c r="G664" i="1"/>
  <c r="F664" i="1"/>
  <c r="G665" i="1"/>
  <c r="F665" i="1"/>
  <c r="G666" i="1"/>
  <c r="F666" i="1"/>
  <c r="G667" i="1"/>
  <c r="F667" i="1"/>
  <c r="F668" i="1"/>
  <c r="G668" i="1"/>
  <c r="G669" i="1"/>
  <c r="F669" i="1"/>
  <c r="G670" i="1"/>
  <c r="F670" i="1"/>
  <c r="G671" i="1"/>
  <c r="F671" i="1"/>
  <c r="G672" i="1"/>
  <c r="F672" i="1"/>
  <c r="G673" i="1"/>
  <c r="F673" i="1"/>
  <c r="G674" i="1"/>
  <c r="F674" i="1"/>
  <c r="G675" i="1"/>
  <c r="F675" i="1"/>
  <c r="G676" i="1"/>
  <c r="F676" i="1"/>
  <c r="G677" i="1"/>
  <c r="F677" i="1"/>
  <c r="F678" i="1"/>
  <c r="G678" i="1"/>
  <c r="G679" i="1"/>
  <c r="F679" i="1"/>
  <c r="F680" i="1"/>
  <c r="G680" i="1"/>
  <c r="F683" i="1"/>
  <c r="G683" i="1"/>
  <c r="G684" i="1"/>
  <c r="F684" i="1"/>
  <c r="F685" i="1"/>
  <c r="G685" i="1"/>
  <c r="F686" i="1"/>
  <c r="G686" i="1"/>
  <c r="G687" i="1"/>
  <c r="F687" i="1"/>
  <c r="G688" i="1"/>
  <c r="F688" i="1"/>
  <c r="F689" i="1"/>
  <c r="G689" i="1"/>
  <c r="F690" i="1"/>
  <c r="G690" i="1"/>
  <c r="F691" i="1"/>
  <c r="G691" i="1"/>
  <c r="F692" i="1"/>
  <c r="G692" i="1"/>
  <c r="F693" i="1"/>
  <c r="G693" i="1"/>
  <c r="G694" i="1"/>
  <c r="F694" i="1"/>
  <c r="F695" i="1"/>
  <c r="G695" i="1"/>
  <c r="F696" i="1"/>
  <c r="G696" i="1"/>
  <c r="G697" i="1"/>
  <c r="F697" i="1"/>
  <c r="F698" i="1"/>
  <c r="G698" i="1"/>
  <c r="G699" i="1"/>
  <c r="F699" i="1"/>
  <c r="F700" i="1"/>
  <c r="G700" i="1"/>
  <c r="F701" i="1"/>
  <c r="G701" i="1"/>
  <c r="G702" i="1"/>
  <c r="F702" i="1"/>
  <c r="G703" i="1"/>
  <c r="F703" i="1"/>
  <c r="F704" i="1"/>
  <c r="G704" i="1"/>
  <c r="G705" i="1"/>
  <c r="F705" i="1"/>
  <c r="F706" i="1"/>
  <c r="G706" i="1"/>
  <c r="G707" i="1"/>
  <c r="F707" i="1"/>
  <c r="G708" i="1"/>
  <c r="F708" i="1"/>
  <c r="F709" i="1"/>
  <c r="G709" i="1"/>
  <c r="F710" i="1"/>
  <c r="G710" i="1"/>
  <c r="G711" i="1"/>
  <c r="F711" i="1"/>
  <c r="G712" i="1"/>
  <c r="F712" i="1"/>
  <c r="F713" i="1"/>
  <c r="G713" i="1"/>
  <c r="G714" i="1"/>
  <c r="F714" i="1"/>
  <c r="G715" i="1"/>
  <c r="F715" i="1"/>
  <c r="G716" i="1"/>
  <c r="F716" i="1"/>
  <c r="G717" i="1"/>
  <c r="F717" i="1"/>
  <c r="G718" i="1"/>
  <c r="F718" i="1"/>
  <c r="F719" i="1"/>
  <c r="G719" i="1"/>
  <c r="G720" i="1"/>
  <c r="F720" i="1"/>
  <c r="F721" i="1"/>
  <c r="G721" i="1"/>
  <c r="F722" i="1"/>
  <c r="G722" i="1"/>
  <c r="G723" i="1"/>
  <c r="F723" i="1"/>
  <c r="G724" i="1"/>
  <c r="F724" i="1"/>
  <c r="G725" i="1"/>
  <c r="F725" i="1"/>
  <c r="F726" i="1"/>
  <c r="G726" i="1"/>
  <c r="G727" i="1"/>
  <c r="F727" i="1"/>
  <c r="G728" i="1"/>
  <c r="F728" i="1"/>
  <c r="G729" i="1"/>
  <c r="F729" i="1"/>
  <c r="F730" i="1"/>
  <c r="G730" i="1"/>
  <c r="G731" i="1"/>
  <c r="F731" i="1"/>
  <c r="F732" i="1"/>
  <c r="G732" i="1"/>
  <c r="G733" i="1"/>
  <c r="F733" i="1"/>
  <c r="F734" i="1"/>
  <c r="G734" i="1"/>
  <c r="F735" i="1"/>
  <c r="G735" i="1"/>
  <c r="G736" i="1"/>
  <c r="F736" i="1"/>
  <c r="F737" i="1"/>
  <c r="G737" i="1"/>
  <c r="G738" i="1"/>
  <c r="F738" i="1"/>
  <c r="F739" i="1"/>
  <c r="G739" i="1"/>
  <c r="F740" i="1"/>
  <c r="G740" i="1"/>
  <c r="G741" i="1"/>
  <c r="F741" i="1"/>
  <c r="G742" i="1"/>
  <c r="F742" i="1"/>
  <c r="F743" i="1"/>
  <c r="G743" i="1"/>
  <c r="G744" i="1"/>
  <c r="F744" i="1"/>
  <c r="F745" i="1"/>
  <c r="G745" i="1"/>
  <c r="G746" i="1"/>
  <c r="F746" i="1"/>
  <c r="G747" i="1"/>
  <c r="F747" i="1"/>
  <c r="F748" i="1"/>
  <c r="G748" i="1"/>
  <c r="G751" i="1"/>
  <c r="F751" i="1"/>
  <c r="F752" i="1"/>
  <c r="G752" i="1"/>
  <c r="G753" i="1"/>
  <c r="F753" i="1"/>
  <c r="G754" i="1"/>
  <c r="F754" i="1"/>
  <c r="F755" i="1"/>
  <c r="G755" i="1"/>
  <c r="G756" i="1"/>
  <c r="F756" i="1"/>
  <c r="F757" i="1"/>
  <c r="G757" i="1"/>
  <c r="F758" i="1"/>
  <c r="G758" i="1"/>
  <c r="F759" i="1"/>
  <c r="G759" i="1"/>
  <c r="F760" i="1"/>
  <c r="G760" i="1"/>
  <c r="F761" i="1"/>
  <c r="G761" i="1"/>
  <c r="G762" i="1"/>
  <c r="F762" i="1"/>
  <c r="G763" i="1"/>
  <c r="F763" i="1"/>
  <c r="G764" i="1"/>
  <c r="F764" i="1"/>
  <c r="G765" i="1"/>
  <c r="F765" i="1"/>
  <c r="G766" i="1"/>
  <c r="F766" i="1"/>
  <c r="F767" i="1"/>
  <c r="G767" i="1"/>
  <c r="F768" i="1"/>
  <c r="G768" i="1"/>
  <c r="G769" i="1"/>
  <c r="F769" i="1"/>
  <c r="F770" i="1"/>
  <c r="G770" i="1"/>
  <c r="F771" i="1"/>
  <c r="G771" i="1"/>
  <c r="G772" i="1"/>
  <c r="F772" i="1"/>
  <c r="F773" i="1"/>
  <c r="G773" i="1"/>
  <c r="G774" i="1"/>
  <c r="F774" i="1"/>
  <c r="F775" i="1"/>
  <c r="G775" i="1"/>
  <c r="G776" i="1"/>
  <c r="F776" i="1"/>
  <c r="G777" i="1"/>
  <c r="F777" i="1"/>
  <c r="F778" i="1"/>
  <c r="G778" i="1"/>
  <c r="F779" i="1"/>
  <c r="G779" i="1"/>
  <c r="G780" i="1"/>
  <c r="F780" i="1"/>
  <c r="F781" i="1"/>
  <c r="G781" i="1"/>
  <c r="F782" i="1"/>
  <c r="G782" i="1"/>
  <c r="G783" i="1"/>
  <c r="F783" i="1"/>
  <c r="F784" i="1"/>
  <c r="G784" i="1"/>
  <c r="G785" i="1"/>
  <c r="F785" i="1"/>
  <c r="G786" i="1"/>
  <c r="F786" i="1"/>
  <c r="F787" i="1"/>
  <c r="G787" i="1"/>
  <c r="G788" i="1"/>
  <c r="F788" i="1"/>
  <c r="F789" i="1"/>
  <c r="G789" i="1"/>
  <c r="G790" i="1"/>
  <c r="F790" i="1"/>
  <c r="G791" i="1"/>
  <c r="F791" i="1"/>
  <c r="G792" i="1"/>
  <c r="F792" i="1"/>
  <c r="G793" i="1"/>
  <c r="F793" i="1"/>
  <c r="F794" i="1"/>
  <c r="G794" i="1"/>
  <c r="G798" i="1"/>
  <c r="F798" i="1"/>
  <c r="F799" i="1"/>
  <c r="G799" i="1"/>
  <c r="G800" i="1"/>
  <c r="F800" i="1"/>
  <c r="G801" i="1"/>
  <c r="F801" i="1"/>
  <c r="G802" i="1"/>
  <c r="F802" i="1"/>
  <c r="F803" i="1"/>
  <c r="G803" i="1"/>
  <c r="G804" i="1"/>
  <c r="F804" i="1"/>
  <c r="G805" i="1"/>
  <c r="F805" i="1"/>
  <c r="G806" i="1"/>
  <c r="F806" i="1"/>
  <c r="F807" i="1"/>
  <c r="G807" i="1"/>
  <c r="F808" i="1"/>
  <c r="G808" i="1"/>
  <c r="F809" i="1"/>
  <c r="G809" i="1"/>
  <c r="G810" i="1"/>
  <c r="F810" i="1"/>
  <c r="G811" i="1"/>
  <c r="F811" i="1"/>
  <c r="G812" i="1"/>
  <c r="F812" i="1"/>
  <c r="G813" i="1"/>
  <c r="F813" i="1"/>
  <c r="G814" i="1"/>
  <c r="F814" i="1"/>
  <c r="G815" i="1"/>
  <c r="F815" i="1"/>
  <c r="F816" i="1"/>
  <c r="G816" i="1"/>
  <c r="G817" i="1"/>
  <c r="F817" i="1"/>
  <c r="G818" i="1"/>
  <c r="F818" i="1"/>
  <c r="G819" i="1"/>
  <c r="F819" i="1"/>
  <c r="F820" i="1"/>
  <c r="G820" i="1"/>
  <c r="F821" i="1"/>
  <c r="G821" i="1"/>
  <c r="G822" i="1"/>
  <c r="F822" i="1"/>
  <c r="G823" i="1"/>
  <c r="F823" i="1"/>
  <c r="G824" i="1"/>
  <c r="F824" i="1"/>
  <c r="G825" i="1"/>
  <c r="F825" i="1"/>
  <c r="F826" i="1"/>
  <c r="G826" i="1"/>
  <c r="G827" i="1"/>
  <c r="F827" i="1"/>
  <c r="F828" i="1"/>
  <c r="G828" i="1"/>
  <c r="G829" i="1"/>
  <c r="F829" i="1"/>
  <c r="F830" i="1"/>
  <c r="G830" i="1"/>
  <c r="G831" i="1"/>
  <c r="F831" i="1"/>
  <c r="G832" i="1"/>
  <c r="F832" i="1"/>
  <c r="G833" i="1"/>
  <c r="F833" i="1"/>
  <c r="F834" i="1"/>
  <c r="G834" i="1"/>
  <c r="F835" i="1"/>
  <c r="G835" i="1"/>
  <c r="F836" i="1"/>
  <c r="G836" i="1"/>
  <c r="G837" i="1"/>
  <c r="F837" i="1"/>
  <c r="G838" i="1"/>
  <c r="F838" i="1"/>
  <c r="F839" i="1"/>
  <c r="G839" i="1"/>
  <c r="G840" i="1"/>
  <c r="F840" i="1"/>
  <c r="F841" i="1"/>
  <c r="G841" i="1"/>
  <c r="G842" i="1"/>
  <c r="F842" i="1"/>
  <c r="F843" i="1"/>
  <c r="G843" i="1"/>
  <c r="G844" i="1"/>
  <c r="F844" i="1"/>
  <c r="F845" i="1"/>
  <c r="G845" i="1"/>
  <c r="G846" i="1"/>
  <c r="F846" i="1"/>
  <c r="F847" i="1"/>
  <c r="G847" i="1"/>
  <c r="F848" i="1"/>
  <c r="G848" i="1"/>
  <c r="F849" i="1"/>
  <c r="G849" i="1"/>
  <c r="F850" i="1"/>
  <c r="G850" i="1"/>
  <c r="F851" i="1"/>
  <c r="G851" i="1"/>
  <c r="G852" i="1"/>
  <c r="F852" i="1"/>
  <c r="G853" i="1"/>
  <c r="F853" i="1"/>
  <c r="F854" i="1"/>
  <c r="G854" i="1"/>
  <c r="F855" i="1"/>
  <c r="G855" i="1"/>
  <c r="G856" i="1"/>
  <c r="F856" i="1"/>
  <c r="G857" i="1"/>
  <c r="F857" i="1"/>
  <c r="G858" i="1"/>
  <c r="F858" i="1"/>
  <c r="G859" i="1"/>
  <c r="F859" i="1"/>
  <c r="G860" i="1"/>
  <c r="F860" i="1"/>
  <c r="F861" i="1"/>
  <c r="G861" i="1"/>
  <c r="G862" i="1"/>
  <c r="F862" i="1"/>
  <c r="F863" i="1"/>
  <c r="G863" i="1"/>
  <c r="F864" i="1"/>
  <c r="G864" i="1"/>
  <c r="G865" i="1"/>
  <c r="F865" i="1"/>
  <c r="G866" i="1"/>
  <c r="F866" i="1"/>
  <c r="F867" i="1"/>
  <c r="G867" i="1"/>
  <c r="G868" i="1"/>
  <c r="F868" i="1"/>
  <c r="G869" i="1"/>
  <c r="F869" i="1"/>
  <c r="F870" i="1"/>
  <c r="G870" i="1"/>
  <c r="F871" i="1"/>
  <c r="G871" i="1"/>
  <c r="G872" i="1"/>
  <c r="F872" i="1"/>
  <c r="G873" i="1"/>
  <c r="F873" i="1"/>
  <c r="F874" i="1"/>
  <c r="G874" i="1"/>
  <c r="F875" i="1"/>
  <c r="G875" i="1"/>
  <c r="F876" i="1"/>
  <c r="G876" i="1"/>
  <c r="G877" i="1"/>
  <c r="F877" i="1"/>
  <c r="F878" i="1"/>
  <c r="G878" i="1"/>
  <c r="F879" i="1"/>
  <c r="G879" i="1"/>
  <c r="G880" i="1"/>
  <c r="F880" i="1"/>
  <c r="F881" i="1"/>
  <c r="G881" i="1"/>
  <c r="F882" i="1"/>
  <c r="G882" i="1"/>
  <c r="G883" i="1"/>
  <c r="F883" i="1"/>
  <c r="F884" i="1"/>
  <c r="G884" i="1"/>
  <c r="F885" i="1"/>
  <c r="G885" i="1"/>
  <c r="G886" i="1"/>
  <c r="F886" i="1"/>
  <c r="G887" i="1"/>
  <c r="F887" i="1"/>
  <c r="G888" i="1"/>
  <c r="F888" i="1"/>
  <c r="G889" i="1"/>
  <c r="F889" i="1"/>
  <c r="G890" i="1"/>
  <c r="F890" i="1"/>
  <c r="G891" i="1"/>
  <c r="F891" i="1"/>
  <c r="F892" i="1"/>
  <c r="G892" i="1"/>
  <c r="F893" i="1"/>
  <c r="G893" i="1"/>
  <c r="G894" i="1"/>
  <c r="F894" i="1"/>
  <c r="G895" i="1"/>
  <c r="F895" i="1"/>
  <c r="F896" i="1"/>
  <c r="G896" i="1"/>
  <c r="G897" i="1"/>
  <c r="F897" i="1"/>
  <c r="G898" i="1"/>
  <c r="F898" i="1"/>
  <c r="G899" i="1"/>
  <c r="F899" i="1"/>
  <c r="G900" i="1"/>
  <c r="F900" i="1"/>
  <c r="F901" i="1"/>
  <c r="G901" i="1"/>
  <c r="G902" i="1"/>
  <c r="F902" i="1"/>
  <c r="F903" i="1"/>
  <c r="G903" i="1"/>
  <c r="G904" i="1"/>
  <c r="F904" i="1"/>
  <c r="F905" i="1"/>
  <c r="G905" i="1"/>
  <c r="G906" i="1"/>
  <c r="F906" i="1"/>
  <c r="G907" i="1"/>
  <c r="F907" i="1"/>
  <c r="G908" i="1"/>
  <c r="F908" i="1"/>
  <c r="G909" i="1"/>
  <c r="F909" i="1"/>
  <c r="G910" i="1"/>
  <c r="F910" i="1"/>
  <c r="F911" i="1"/>
  <c r="G911" i="1"/>
  <c r="F912" i="1"/>
  <c r="G912" i="1"/>
  <c r="F913" i="1"/>
  <c r="G913" i="1"/>
  <c r="F914" i="1"/>
  <c r="G914" i="1"/>
  <c r="F915" i="1"/>
  <c r="G915" i="1"/>
  <c r="F916" i="1"/>
  <c r="G916" i="1"/>
  <c r="F917" i="1"/>
  <c r="G917" i="1"/>
  <c r="G918" i="1"/>
  <c r="F918" i="1"/>
  <c r="F919" i="1"/>
  <c r="G919" i="1"/>
  <c r="F920" i="1"/>
  <c r="G920" i="1"/>
  <c r="G921" i="1"/>
  <c r="F921" i="1"/>
  <c r="F922" i="1"/>
  <c r="G922" i="1"/>
  <c r="G923" i="1"/>
  <c r="F923" i="1"/>
  <c r="G924" i="1"/>
  <c r="F924" i="1"/>
  <c r="G925" i="1"/>
  <c r="F925" i="1"/>
  <c r="G926" i="1"/>
  <c r="F926" i="1"/>
  <c r="G927" i="1"/>
  <c r="F927" i="1"/>
  <c r="G928" i="1"/>
  <c r="F928" i="1"/>
  <c r="F929" i="1"/>
  <c r="G929" i="1"/>
  <c r="G930" i="1"/>
  <c r="F930" i="1"/>
  <c r="F931" i="1"/>
  <c r="G931" i="1"/>
  <c r="G932" i="1"/>
  <c r="F932" i="1"/>
  <c r="F933" i="1"/>
  <c r="G933" i="1"/>
  <c r="F934" i="1"/>
  <c r="G934" i="1"/>
  <c r="F935" i="1"/>
  <c r="G935" i="1"/>
  <c r="G936" i="1"/>
  <c r="F936" i="1"/>
  <c r="F937" i="1"/>
  <c r="G937" i="1"/>
  <c r="G938" i="1"/>
  <c r="F938" i="1"/>
  <c r="F939" i="1"/>
  <c r="G939" i="1"/>
  <c r="F940" i="1"/>
  <c r="G940" i="1"/>
  <c r="G941" i="1"/>
  <c r="F941" i="1"/>
  <c r="G944" i="1"/>
  <c r="F944" i="1"/>
  <c r="G945" i="1"/>
  <c r="F945" i="1"/>
  <c r="G946" i="1"/>
  <c r="F946" i="1"/>
  <c r="G947" i="1"/>
  <c r="F947" i="1"/>
  <c r="G948" i="1"/>
  <c r="F948" i="1"/>
  <c r="F949" i="1"/>
  <c r="G949" i="1"/>
  <c r="G950" i="1"/>
  <c r="F950" i="1"/>
  <c r="F951" i="1"/>
  <c r="G951" i="1"/>
  <c r="G952" i="1"/>
  <c r="F952" i="1"/>
  <c r="F953" i="1"/>
  <c r="G953" i="1"/>
  <c r="F954" i="1"/>
  <c r="G954" i="1"/>
  <c r="F955" i="1"/>
  <c r="G955" i="1"/>
  <c r="F956" i="1"/>
  <c r="G956" i="1"/>
  <c r="G957" i="1"/>
  <c r="F957" i="1"/>
  <c r="F958" i="1"/>
  <c r="G958" i="1"/>
  <c r="F959" i="1"/>
  <c r="G959" i="1"/>
  <c r="F960" i="1"/>
  <c r="G960" i="1"/>
  <c r="F961" i="1"/>
  <c r="G961" i="1"/>
  <c r="F962" i="1"/>
  <c r="G962" i="1"/>
  <c r="G963" i="1"/>
  <c r="F963" i="1"/>
  <c r="G964" i="1"/>
  <c r="F964" i="1"/>
  <c r="F965" i="1"/>
  <c r="G965" i="1"/>
  <c r="G966" i="1"/>
  <c r="F966" i="1"/>
  <c r="F967" i="1"/>
  <c r="G967" i="1"/>
  <c r="F968" i="1"/>
  <c r="G968" i="1"/>
  <c r="G969" i="1"/>
  <c r="F969" i="1"/>
  <c r="G970" i="1"/>
  <c r="F970" i="1"/>
  <c r="F971" i="1"/>
  <c r="G971" i="1"/>
  <c r="F972" i="1"/>
  <c r="G972" i="1"/>
  <c r="F973" i="1"/>
  <c r="G973" i="1"/>
  <c r="G974" i="1"/>
  <c r="F974" i="1"/>
  <c r="G975" i="1"/>
  <c r="F975" i="1"/>
  <c r="G976" i="1"/>
  <c r="F976" i="1"/>
  <c r="G977" i="1"/>
  <c r="F977" i="1"/>
  <c r="G978" i="1"/>
  <c r="F978" i="1"/>
  <c r="G979" i="1"/>
  <c r="F979" i="1"/>
  <c r="F982" i="1"/>
  <c r="G982" i="1"/>
  <c r="G983" i="1"/>
  <c r="F983" i="1"/>
  <c r="G984" i="1"/>
  <c r="F984" i="1"/>
  <c r="G985" i="1"/>
  <c r="F985" i="1"/>
  <c r="G986" i="1"/>
  <c r="F986" i="1"/>
  <c r="G987" i="1"/>
  <c r="F987" i="1"/>
  <c r="G988" i="1"/>
  <c r="F988" i="1"/>
  <c r="G989" i="1"/>
  <c r="F989" i="1"/>
  <c r="G990" i="1"/>
  <c r="F990" i="1"/>
  <c r="F991" i="1"/>
  <c r="G991" i="1"/>
  <c r="G992" i="1"/>
  <c r="F992" i="1"/>
  <c r="G993" i="1"/>
  <c r="F993" i="1"/>
  <c r="F994" i="1"/>
  <c r="G994" i="1"/>
  <c r="G995" i="1"/>
  <c r="F995" i="1"/>
  <c r="G996" i="1"/>
  <c r="F996" i="1"/>
  <c r="F997" i="1"/>
  <c r="G997" i="1"/>
  <c r="F998" i="1"/>
  <c r="G998" i="1"/>
  <c r="F999" i="1"/>
  <c r="G999" i="1"/>
  <c r="G1000" i="1"/>
  <c r="F1000" i="1"/>
  <c r="G1001" i="1"/>
  <c r="F1001" i="1"/>
  <c r="G1005" i="1"/>
  <c r="F1005" i="1"/>
  <c r="F1006" i="1"/>
  <c r="G1006" i="1"/>
  <c r="G1007" i="1"/>
  <c r="F1007" i="1"/>
  <c r="G1008" i="1"/>
  <c r="F1008" i="1"/>
  <c r="F1009" i="1"/>
  <c r="G1009" i="1"/>
  <c r="G1010" i="1"/>
  <c r="F1010" i="1"/>
  <c r="F1011" i="1"/>
  <c r="G1011" i="1"/>
  <c r="G1012" i="1"/>
  <c r="F1012" i="1"/>
  <c r="G1013" i="1"/>
  <c r="F1013" i="1"/>
  <c r="F1014" i="1"/>
  <c r="G1014" i="1"/>
  <c r="F1015" i="1"/>
  <c r="G1015" i="1"/>
  <c r="F1016" i="1"/>
  <c r="G1016" i="1"/>
  <c r="F1017" i="1"/>
  <c r="G1017" i="1"/>
  <c r="G1018" i="1"/>
  <c r="F1018" i="1"/>
  <c r="G1019" i="1"/>
  <c r="F1019" i="1"/>
  <c r="G1020" i="1"/>
  <c r="F1020" i="1"/>
  <c r="G1021" i="1"/>
  <c r="F1021" i="1"/>
  <c r="F1022" i="1"/>
  <c r="G1022" i="1"/>
  <c r="G1023" i="1"/>
  <c r="F1023" i="1"/>
  <c r="F1024" i="1"/>
  <c r="G1024" i="1"/>
  <c r="G1025" i="1"/>
  <c r="F1025" i="1"/>
  <c r="F1026" i="1"/>
  <c r="G1026" i="1"/>
  <c r="G1027" i="1"/>
  <c r="F1027" i="1"/>
  <c r="F1028" i="1"/>
  <c r="G1028" i="1"/>
  <c r="F1029" i="1"/>
  <c r="G1029" i="1"/>
  <c r="F1030" i="1"/>
  <c r="G1030" i="1"/>
  <c r="F1033" i="1"/>
  <c r="G1033" i="1"/>
  <c r="G1034" i="1"/>
  <c r="F1034" i="1"/>
  <c r="G1035" i="1"/>
  <c r="F1035" i="1"/>
  <c r="G1036" i="1"/>
  <c r="F1036" i="1"/>
  <c r="G1037" i="1"/>
  <c r="F1037" i="1"/>
  <c r="G1038" i="1"/>
  <c r="F1038" i="1"/>
  <c r="G1039" i="1"/>
  <c r="F1039" i="1"/>
  <c r="F1043" i="1"/>
  <c r="G1043" i="1"/>
  <c r="G1044" i="1"/>
  <c r="F1044" i="1"/>
  <c r="F1045" i="1"/>
  <c r="G1045" i="1"/>
  <c r="G1046" i="1"/>
  <c r="F1046" i="1"/>
  <c r="F1047" i="1"/>
  <c r="G1047" i="1"/>
  <c r="F1048" i="1"/>
  <c r="G1048" i="1"/>
  <c r="G1049" i="1"/>
  <c r="F1049" i="1"/>
  <c r="F1050" i="1"/>
  <c r="G1050" i="1"/>
  <c r="G1051" i="1"/>
  <c r="F1051" i="1"/>
  <c r="F1052" i="1"/>
  <c r="G1052" i="1"/>
  <c r="G1053" i="1"/>
  <c r="F1053" i="1"/>
  <c r="F1054" i="1"/>
  <c r="G1054" i="1"/>
  <c r="F1055" i="1"/>
  <c r="G1055" i="1"/>
  <c r="F1056" i="1"/>
  <c r="G1056" i="1"/>
  <c r="G1057" i="1"/>
  <c r="F1057" i="1"/>
  <c r="G1058" i="1"/>
  <c r="F1058" i="1"/>
  <c r="F1059" i="1"/>
  <c r="G1059" i="1"/>
  <c r="G1060" i="1"/>
  <c r="F1060" i="1"/>
  <c r="G1061" i="1"/>
  <c r="F1061" i="1"/>
  <c r="G1062" i="1"/>
  <c r="F1062" i="1"/>
  <c r="F1063" i="1"/>
  <c r="G1063" i="1"/>
  <c r="F1064" i="1"/>
  <c r="G1064" i="1"/>
  <c r="G1065" i="1"/>
  <c r="F1065" i="1"/>
  <c r="G1066" i="1"/>
  <c r="F1066" i="1"/>
  <c r="G1067" i="1"/>
  <c r="F1067" i="1"/>
  <c r="G1068" i="1"/>
  <c r="F1068" i="1"/>
  <c r="G1069" i="1"/>
  <c r="F1069" i="1"/>
  <c r="F1070" i="1"/>
  <c r="G1070" i="1"/>
  <c r="G1071" i="1"/>
  <c r="F1071" i="1"/>
  <c r="G1072" i="1"/>
  <c r="F1072" i="1"/>
  <c r="G1073" i="1"/>
  <c r="F1073" i="1"/>
  <c r="G1074" i="1"/>
  <c r="F1074" i="1"/>
  <c r="F1075" i="1"/>
  <c r="G1075" i="1"/>
  <c r="F1076" i="1"/>
  <c r="G1076" i="1"/>
  <c r="G1077" i="1"/>
  <c r="F1077" i="1"/>
  <c r="G1078" i="1"/>
  <c r="F1078" i="1"/>
  <c r="F1079" i="1"/>
  <c r="G1079" i="1"/>
  <c r="G1080" i="1"/>
  <c r="F1080" i="1"/>
  <c r="G1081" i="1"/>
  <c r="F1081" i="1"/>
  <c r="G1082" i="1"/>
  <c r="F1082" i="1"/>
  <c r="F1083" i="1"/>
  <c r="G1083" i="1"/>
  <c r="F1084" i="1"/>
  <c r="G1084" i="1"/>
  <c r="G1085" i="1"/>
  <c r="F1085" i="1"/>
  <c r="F1086" i="1"/>
  <c r="G1086" i="1"/>
  <c r="G1087" i="1"/>
  <c r="F1087" i="1"/>
  <c r="G1088" i="1"/>
  <c r="F1088" i="1"/>
  <c r="F1089" i="1"/>
  <c r="G1089" i="1"/>
  <c r="F1090" i="1"/>
  <c r="G1090" i="1"/>
  <c r="F1091" i="1"/>
  <c r="G1091" i="1"/>
  <c r="G1092" i="1"/>
  <c r="F1092" i="1"/>
  <c r="G1093" i="1"/>
  <c r="F1093" i="1"/>
  <c r="F1094" i="1"/>
  <c r="G1094" i="1"/>
  <c r="G1095" i="1"/>
  <c r="F1095" i="1"/>
  <c r="F1096" i="1"/>
  <c r="G1096" i="1"/>
  <c r="G1097" i="1"/>
  <c r="F1097" i="1"/>
  <c r="G1098" i="1"/>
  <c r="F1098" i="1"/>
  <c r="F1099" i="1"/>
  <c r="G1099" i="1"/>
  <c r="G1100" i="1"/>
  <c r="F1100" i="1"/>
  <c r="F1101" i="1"/>
  <c r="G1101" i="1"/>
  <c r="F1102" i="1"/>
  <c r="G1102" i="1"/>
  <c r="F1103" i="1"/>
  <c r="G1103" i="1"/>
  <c r="F1104" i="1"/>
  <c r="G1104" i="1"/>
  <c r="G1105" i="1"/>
  <c r="F1105" i="1"/>
  <c r="F1106" i="1"/>
  <c r="G1106" i="1"/>
  <c r="G1107" i="1"/>
  <c r="F1107" i="1"/>
  <c r="F1108" i="1"/>
  <c r="G1108" i="1"/>
  <c r="G1109" i="1"/>
  <c r="F1109" i="1"/>
  <c r="G1110" i="1"/>
  <c r="F1110" i="1"/>
  <c r="G1111" i="1"/>
  <c r="F1111" i="1"/>
  <c r="F1112" i="1"/>
  <c r="G1112" i="1"/>
  <c r="G1113" i="1"/>
  <c r="F1113" i="1"/>
  <c r="G1114" i="1"/>
  <c r="F1114" i="1"/>
  <c r="G1115" i="1"/>
  <c r="F1115" i="1"/>
  <c r="F1116" i="1"/>
  <c r="G1116" i="1"/>
  <c r="F1117" i="1"/>
  <c r="G1117" i="1"/>
  <c r="F1118" i="1"/>
  <c r="G1118" i="1"/>
  <c r="G1119" i="1"/>
  <c r="F1119" i="1"/>
  <c r="G1122" i="1"/>
  <c r="F1122" i="1"/>
  <c r="F1123" i="1"/>
  <c r="G1123" i="1"/>
  <c r="F1124" i="1"/>
  <c r="G1124" i="1"/>
  <c r="G1125" i="1"/>
  <c r="F1125" i="1"/>
  <c r="G1126" i="1"/>
  <c r="F1126" i="1"/>
  <c r="F1127" i="1"/>
  <c r="G1127" i="1"/>
  <c r="G1128" i="1"/>
  <c r="F1128" i="1"/>
  <c r="G1129" i="1"/>
  <c r="F1129" i="1"/>
  <c r="F1130" i="1"/>
  <c r="G1130" i="1"/>
  <c r="G1131" i="1"/>
  <c r="F1131" i="1"/>
  <c r="F1132" i="1"/>
  <c r="G1132" i="1"/>
  <c r="G1133" i="1"/>
  <c r="F1133" i="1"/>
  <c r="G1134" i="1"/>
  <c r="F1134" i="1"/>
  <c r="G1135" i="1"/>
  <c r="F1135" i="1"/>
  <c r="G1136" i="1"/>
  <c r="F1136" i="1"/>
  <c r="F1137" i="1"/>
  <c r="G1137" i="1"/>
  <c r="F1138" i="1"/>
  <c r="G1138" i="1"/>
  <c r="F1139" i="1"/>
  <c r="G1139" i="1"/>
  <c r="F1140" i="1"/>
  <c r="G1140" i="1"/>
  <c r="G1141" i="1"/>
  <c r="F1141" i="1"/>
  <c r="F1142" i="1"/>
  <c r="G1142" i="1"/>
  <c r="G1143" i="1"/>
  <c r="F1143" i="1"/>
  <c r="G1144" i="1"/>
  <c r="F1144" i="1"/>
  <c r="G1145" i="1"/>
  <c r="F1145" i="1"/>
  <c r="G1146" i="1"/>
  <c r="F1146" i="1"/>
  <c r="G1147" i="1"/>
  <c r="F1147" i="1"/>
  <c r="G1148" i="1"/>
  <c r="F1148" i="1"/>
  <c r="G1149" i="1"/>
  <c r="F1149" i="1"/>
  <c r="F1150" i="1"/>
  <c r="G1150" i="1"/>
  <c r="F1151" i="1"/>
  <c r="G1151" i="1"/>
  <c r="G1154" i="1"/>
  <c r="F1154" i="1"/>
  <c r="G1155" i="1"/>
  <c r="F1155" i="1"/>
  <c r="G1156" i="1"/>
  <c r="F1156" i="1"/>
  <c r="F1157" i="1"/>
  <c r="G1157" i="1"/>
  <c r="G1158" i="1"/>
  <c r="F1158" i="1"/>
  <c r="G1159" i="1"/>
  <c r="F1159" i="1"/>
  <c r="F1160" i="1"/>
  <c r="G1160" i="1"/>
  <c r="F1161" i="1"/>
  <c r="G1161" i="1"/>
  <c r="G1162" i="1"/>
  <c r="F1162" i="1"/>
  <c r="F1163" i="1"/>
  <c r="G1163" i="1"/>
  <c r="G1164" i="1"/>
  <c r="F1164" i="1"/>
  <c r="G1165" i="1"/>
  <c r="F1165" i="1"/>
  <c r="G1166" i="1"/>
  <c r="F1166" i="1"/>
  <c r="G1167" i="1"/>
  <c r="F1167" i="1"/>
  <c r="G1168" i="1"/>
  <c r="F1168" i="1"/>
  <c r="F1169" i="1"/>
  <c r="G1169" i="1"/>
  <c r="G1170" i="1"/>
  <c r="F1170" i="1"/>
  <c r="F1171" i="1"/>
  <c r="G1171" i="1"/>
  <c r="G1174" i="1"/>
  <c r="F1174" i="1"/>
  <c r="G1175" i="1"/>
  <c r="F1175" i="1"/>
  <c r="F1176" i="1"/>
  <c r="G1176" i="1"/>
  <c r="G1177" i="1"/>
  <c r="F1177" i="1"/>
  <c r="G1178" i="1"/>
  <c r="F1178" i="1"/>
  <c r="G1179" i="1"/>
  <c r="F1179" i="1"/>
  <c r="G1180" i="1"/>
  <c r="F1180" i="1"/>
  <c r="G1183" i="1"/>
  <c r="F1183" i="1"/>
  <c r="G1184" i="1"/>
  <c r="F1184" i="1"/>
  <c r="G1185" i="1"/>
  <c r="F1185" i="1"/>
  <c r="G1186" i="1"/>
  <c r="F1186" i="1"/>
  <c r="F1187" i="1"/>
  <c r="G1187" i="1"/>
  <c r="G1188" i="1"/>
  <c r="F1188" i="1"/>
  <c r="F1189" i="1"/>
  <c r="G1189" i="1"/>
  <c r="G1190" i="1"/>
  <c r="F1190" i="1"/>
  <c r="F1191" i="1"/>
  <c r="G1191" i="1"/>
  <c r="F1192" i="1"/>
  <c r="G1192" i="1"/>
  <c r="F1195" i="1"/>
  <c r="G1195" i="1"/>
  <c r="F1196" i="1"/>
  <c r="G1196" i="1"/>
  <c r="G1197" i="1"/>
  <c r="F1197" i="1"/>
  <c r="F1198" i="1"/>
  <c r="G1198" i="1"/>
  <c r="G1199" i="1"/>
  <c r="F1199" i="1"/>
  <c r="F1200" i="1"/>
  <c r="G1200" i="1"/>
  <c r="F1201" i="1"/>
  <c r="G1201" i="1"/>
  <c r="G1202" i="1"/>
  <c r="F1202" i="1"/>
  <c r="F1203" i="1"/>
  <c r="G1203" i="1"/>
  <c r="F1204" i="1"/>
  <c r="G1204" i="1"/>
  <c r="F1205" i="1"/>
  <c r="G1205" i="1"/>
  <c r="F1206" i="1"/>
  <c r="G1206" i="1"/>
  <c r="F1209" i="1"/>
  <c r="G1209" i="1"/>
  <c r="G1210" i="1"/>
  <c r="F1210" i="1"/>
  <c r="F1211" i="1"/>
  <c r="G1211" i="1"/>
  <c r="F1212" i="1"/>
  <c r="G1212" i="1"/>
  <c r="F1213" i="1"/>
  <c r="G1213" i="1"/>
  <c r="G1214" i="1"/>
  <c r="F1214" i="1"/>
  <c r="G1215" i="1"/>
  <c r="F1215" i="1"/>
  <c r="F1216" i="1"/>
  <c r="G1216" i="1"/>
  <c r="F1217" i="1"/>
  <c r="G1217" i="1"/>
  <c r="F1218" i="1"/>
  <c r="G1218" i="1"/>
  <c r="F1219" i="1"/>
  <c r="G1219" i="1"/>
  <c r="F1220" i="1"/>
  <c r="G1220" i="1"/>
  <c r="G1221" i="1"/>
  <c r="F1221" i="1"/>
  <c r="F1222" i="1"/>
  <c r="G1222" i="1"/>
  <c r="G1223" i="1"/>
  <c r="F1223" i="1"/>
  <c r="F1224" i="1"/>
  <c r="G1224" i="1"/>
  <c r="G1225" i="1"/>
  <c r="F1225" i="1"/>
  <c r="F1226" i="1"/>
  <c r="G1226" i="1"/>
  <c r="F1227" i="1"/>
  <c r="G1227" i="1"/>
  <c r="F1228" i="1"/>
  <c r="G1228" i="1"/>
  <c r="G1229" i="1"/>
  <c r="F1229" i="1"/>
  <c r="F1230" i="1"/>
  <c r="G1230" i="1"/>
  <c r="G1231" i="1"/>
  <c r="F1231" i="1"/>
  <c r="F1232" i="1"/>
  <c r="G1232" i="1"/>
  <c r="F1233" i="1"/>
  <c r="G1233" i="1"/>
  <c r="F1234" i="1"/>
  <c r="G1234" i="1"/>
  <c r="G1235" i="1"/>
  <c r="F1235" i="1"/>
  <c r="F1236" i="1"/>
  <c r="G1236" i="1"/>
  <c r="G1237" i="1"/>
  <c r="F1237" i="1"/>
  <c r="G1238" i="1"/>
  <c r="F1238" i="1"/>
  <c r="F1239" i="1"/>
  <c r="G1239" i="1"/>
  <c r="F1240" i="1"/>
  <c r="G1240" i="1"/>
  <c r="F1241" i="1"/>
  <c r="G1241" i="1"/>
  <c r="F1242" i="1"/>
  <c r="G1242" i="1"/>
  <c r="F1243" i="1"/>
  <c r="G1243" i="1"/>
  <c r="G1244" i="1"/>
  <c r="F1244" i="1"/>
  <c r="F1245" i="1"/>
  <c r="G1245" i="1"/>
  <c r="G1246" i="1"/>
  <c r="F1246" i="1"/>
  <c r="G1247" i="1"/>
  <c r="F1247" i="1"/>
  <c r="F1248" i="1"/>
  <c r="G1248" i="1"/>
  <c r="F1249" i="1"/>
  <c r="G1249" i="1"/>
  <c r="F1250" i="1"/>
  <c r="G1250" i="1"/>
  <c r="F1251" i="1"/>
  <c r="G1251" i="1"/>
  <c r="G1252" i="1"/>
  <c r="F1252" i="1"/>
  <c r="G1253" i="1"/>
  <c r="F1253" i="1"/>
  <c r="F1254" i="1"/>
  <c r="G1254" i="1"/>
  <c r="G1257" i="1"/>
  <c r="F1257" i="1"/>
  <c r="F1258" i="1"/>
  <c r="G1258" i="1"/>
  <c r="F1259" i="1"/>
  <c r="G1259" i="1"/>
  <c r="G1260" i="1"/>
  <c r="F1260" i="1"/>
  <c r="F1261" i="1"/>
  <c r="G1261" i="1"/>
  <c r="F1262" i="1"/>
  <c r="G1262" i="1"/>
  <c r="F1263" i="1"/>
  <c r="G1263" i="1"/>
  <c r="F1264" i="1"/>
  <c r="G1264" i="1"/>
  <c r="G1265" i="1"/>
  <c r="F1265" i="1"/>
  <c r="F1266" i="1"/>
  <c r="G1266" i="1"/>
  <c r="F1267" i="1"/>
  <c r="G1267" i="1"/>
  <c r="G1268" i="1"/>
  <c r="F1268" i="1"/>
  <c r="F1269" i="1"/>
  <c r="G1269" i="1"/>
  <c r="G1270" i="1"/>
  <c r="F1270" i="1"/>
  <c r="F1271" i="1"/>
  <c r="G1271" i="1"/>
  <c r="G1272" i="1"/>
  <c r="F1272" i="1"/>
  <c r="F1273" i="1"/>
  <c r="G1273" i="1"/>
  <c r="G1274" i="1"/>
  <c r="F1274" i="1"/>
  <c r="G1275" i="1"/>
  <c r="F1275" i="1"/>
  <c r="F1276" i="1"/>
  <c r="G1276" i="1"/>
  <c r="F1277" i="1"/>
  <c r="G1277" i="1"/>
  <c r="F1278" i="1"/>
  <c r="G1278" i="1"/>
  <c r="G1279" i="1"/>
  <c r="F1279" i="1"/>
  <c r="G1280" i="1"/>
  <c r="F1280" i="1"/>
  <c r="F1281" i="1"/>
  <c r="G1281" i="1"/>
  <c r="F1282" i="1"/>
  <c r="G1282" i="1"/>
  <c r="G1283" i="1"/>
  <c r="F1283" i="1"/>
  <c r="G1284" i="1"/>
  <c r="F1284" i="1"/>
  <c r="F1285" i="1"/>
  <c r="G1285" i="1"/>
</calcChain>
</file>

<file path=xl/sharedStrings.xml><?xml version="1.0" encoding="utf-8"?>
<sst xmlns="http://schemas.openxmlformats.org/spreadsheetml/2006/main" count="6289" uniqueCount="2417">
  <si>
    <t>FII Questionnaire Indonesia (wave 4)</t>
  </si>
  <si>
    <t>DFS Tracker Questionnaire Kenya</t>
  </si>
  <si>
    <t>Main Questionnaire</t>
  </si>
  <si>
    <t>Section AA: Unique Identification</t>
  </si>
  <si>
    <t>Q#</t>
  </si>
  <si>
    <t>Label</t>
  </si>
  <si>
    <t>Values</t>
  </si>
  <si>
    <t>Type</t>
  </si>
  <si>
    <t>Width</t>
  </si>
  <si>
    <t>Start</t>
  </si>
  <si>
    <t>End</t>
  </si>
  <si>
    <t>Filter instruction</t>
  </si>
  <si>
    <t>SPSS Variable Name</t>
  </si>
  <si>
    <t>Serial</t>
  </si>
  <si>
    <t>Serial. Questionnaire ID</t>
  </si>
  <si>
    <t>N/A</t>
  </si>
  <si>
    <t>Numeric</t>
  </si>
  <si>
    <t>ALL</t>
  </si>
  <si>
    <t>AA1</t>
  </si>
  <si>
    <t>AA1.Country</t>
  </si>
  <si>
    <t>Please provide the codes for Country</t>
  </si>
  <si>
    <t>AA2</t>
  </si>
  <si>
    <t>AA2.Province</t>
  </si>
  <si>
    <t>Please provide the codes for Province</t>
  </si>
  <si>
    <t>AA3</t>
  </si>
  <si>
    <t>AA3.District</t>
  </si>
  <si>
    <t>Please provide the codes for District</t>
  </si>
  <si>
    <t>AA4</t>
  </si>
  <si>
    <t>AA4.Sub-District</t>
  </si>
  <si>
    <t>Please provide the codes for Sub-District</t>
  </si>
  <si>
    <t>AA5</t>
  </si>
  <si>
    <t>AA5.Village</t>
  </si>
  <si>
    <t>Please provide the codes for Village</t>
  </si>
  <si>
    <t>AA6</t>
  </si>
  <si>
    <t>AA6.Census numbers Block</t>
  </si>
  <si>
    <t>AA7</t>
  </si>
  <si>
    <t>AA7.EA Type</t>
  </si>
  <si>
    <t>1=Urban_x000D_
2=Rural</t>
  </si>
  <si>
    <t>Single</t>
  </si>
  <si>
    <t>AA8</t>
  </si>
  <si>
    <t xml:space="preserve">1=Capital city 
2=250,000 and over 
3=100,000-249,999 
4=50,000-99,999 
5=20,000-49,999
6=5,000-19,999 
7=2,000-4,999 
8=Under 2,000  </t>
  </si>
  <si>
    <t>AA9.1</t>
  </si>
  <si>
    <t>AA9.1.Household GPS location Latitude</t>
  </si>
  <si>
    <t>AA9_1</t>
  </si>
  <si>
    <t>AA9.2</t>
  </si>
  <si>
    <t>AA9.2.Household GPS location Longitude</t>
  </si>
  <si>
    <t>AA9_2</t>
  </si>
  <si>
    <t>AA10</t>
  </si>
  <si>
    <t>AA10. Respondent ID Number</t>
  </si>
  <si>
    <t>AA11</t>
  </si>
  <si>
    <t>Verbatim</t>
  </si>
  <si>
    <t>AB1</t>
  </si>
  <si>
    <t>AB1.Date(dd.mm.yyyy)</t>
  </si>
  <si>
    <t>Date</t>
  </si>
  <si>
    <t>AB2</t>
  </si>
  <si>
    <t>AB2.Day of the week</t>
  </si>
  <si>
    <t>1=Monday
2=Tuesday
3=Wednesday
4=Thursday
5=Friday
6=Saturday
7=Sunday</t>
  </si>
  <si>
    <t>AB3</t>
  </si>
  <si>
    <t>AB3.Start Time (hh:mm) (24 hours)</t>
  </si>
  <si>
    <t>AB4</t>
  </si>
  <si>
    <t>AB4.End Time(hh:mm) (24 hours)</t>
  </si>
  <si>
    <t>AB5</t>
  </si>
  <si>
    <t>AB5.Duration (minutes)</t>
  </si>
  <si>
    <t>AB6.1</t>
  </si>
  <si>
    <t>AB6.1.Interviewer Number</t>
  </si>
  <si>
    <t>AB6_1</t>
  </si>
  <si>
    <t>AB6.2</t>
  </si>
  <si>
    <t>AB6.2.Interviewer Name</t>
  </si>
  <si>
    <t>AB6_2</t>
  </si>
  <si>
    <t>AB6.3</t>
  </si>
  <si>
    <t>AB6.3.Supervisor Number</t>
  </si>
  <si>
    <t>AB6_3</t>
  </si>
  <si>
    <t>AB6.4</t>
  </si>
  <si>
    <t>AB6.4.Supervisor Name</t>
  </si>
  <si>
    <t>AB6_4</t>
  </si>
  <si>
    <t>AB7</t>
  </si>
  <si>
    <t>AB7.Interviewer Gender</t>
  </si>
  <si>
    <t>1=Male_x000D_
2=Female</t>
  </si>
  <si>
    <t>Section I: DEMOGRAPHICS</t>
  </si>
  <si>
    <t>Section I: DEMOGRAPHICS AND LIVLIHOOD</t>
  </si>
  <si>
    <t>Subsection 1.1: General demographic characteristics</t>
  </si>
  <si>
    <t>DG1</t>
  </si>
  <si>
    <t>DG1. What year were you born?</t>
  </si>
  <si>
    <t>N/A
99=DK</t>
  </si>
  <si>
    <t>DG2</t>
  </si>
  <si>
    <r>
      <t>DG2. Is the respondent a male or a female?</t>
    </r>
    <r>
      <rPr>
        <b/>
        <sz val="10"/>
        <rFont val="Arial"/>
        <family val="2"/>
      </rPr>
      <t/>
    </r>
  </si>
  <si>
    <t>DG3</t>
  </si>
  <si>
    <r>
      <t>DG3. What is your marital status?</t>
    </r>
    <r>
      <rPr>
        <b/>
        <sz val="10"/>
        <rFont val="Arial"/>
        <family val="2"/>
      </rPr>
      <t/>
    </r>
  </si>
  <si>
    <t>DG4</t>
  </si>
  <si>
    <r>
      <t>DG4. What is your highest level of education?</t>
    </r>
    <r>
      <rPr>
        <b/>
        <sz val="10"/>
        <rFont val="Arial"/>
        <family val="2"/>
      </rPr>
      <t/>
    </r>
  </si>
  <si>
    <t>see vDG4 sheet</t>
  </si>
  <si>
    <t>DG5.1</t>
  </si>
  <si>
    <t>1=Yes_x000D_
2=No</t>
  </si>
  <si>
    <t>DG5.2</t>
  </si>
  <si>
    <t>DG5.3</t>
  </si>
  <si>
    <t>DG5.4</t>
  </si>
  <si>
    <t>DG5.5</t>
  </si>
  <si>
    <t>DG5.6</t>
  </si>
  <si>
    <t>DG5.7</t>
  </si>
  <si>
    <t>DG5.8</t>
  </si>
  <si>
    <t>DG5.9</t>
  </si>
  <si>
    <t>DG5.10</t>
  </si>
  <si>
    <t>DG5.11</t>
  </si>
  <si>
    <t>DG5.12</t>
  </si>
  <si>
    <t>DG5.13</t>
  </si>
  <si>
    <t>DG5.14</t>
  </si>
  <si>
    <t>DG5.15</t>
  </si>
  <si>
    <t>DG5.16</t>
  </si>
  <si>
    <t>DG5.17</t>
  </si>
  <si>
    <t>DG5.96</t>
  </si>
  <si>
    <t>DG5.19</t>
  </si>
  <si>
    <t>DG6</t>
  </si>
  <si>
    <t>DG6. What is your relationship to the household head?</t>
  </si>
  <si>
    <t>1=Head
2=Spouse
3=Son/Daughter
4=Father/Mother
5=Sister/Brother
6=Grandchild
7=Other relative
8=Servant/house help
9=Other non-relative
99=DK</t>
  </si>
  <si>
    <t>DG8.A</t>
  </si>
  <si>
    <t>DG8a</t>
  </si>
  <si>
    <t>DG8.B</t>
  </si>
  <si>
    <t>DG8b</t>
  </si>
  <si>
    <t>DG8.C</t>
  </si>
  <si>
    <t>DG8c</t>
  </si>
  <si>
    <t>DG9.A</t>
  </si>
  <si>
    <t>IF DG8a&gt;=1</t>
  </si>
  <si>
    <t>DG9a</t>
  </si>
  <si>
    <t>DG9.B</t>
  </si>
  <si>
    <t>IF DG8b&gt;=1</t>
  </si>
  <si>
    <t>DG9b</t>
  </si>
  <si>
    <t>DG9.C</t>
  </si>
  <si>
    <t>IF DG8c&gt;=1</t>
  </si>
  <si>
    <t>DG9c</t>
  </si>
  <si>
    <t>DG10.B</t>
  </si>
  <si>
    <t>IF DG8b&gt;=1 OR DG9b&gt;=1</t>
  </si>
  <si>
    <t>DG10b</t>
  </si>
  <si>
    <t>DG10.C</t>
  </si>
  <si>
    <t>IF DG8c&gt;=1 OR DG9c&gt;=1</t>
  </si>
  <si>
    <t>DG10c</t>
  </si>
  <si>
    <t>DG11.B</t>
  </si>
  <si>
    <t xml:space="preserve">IF DG10b&gt;=1 </t>
  </si>
  <si>
    <t>DG11b</t>
  </si>
  <si>
    <t>DG11.C</t>
  </si>
  <si>
    <t xml:space="preserve">IF DG10c&gt;=1 </t>
  </si>
  <si>
    <t>DG11c</t>
  </si>
  <si>
    <t>DG12.1</t>
  </si>
  <si>
    <t>1=Yes
2=No</t>
  </si>
  <si>
    <t xml:space="preserve">IF DG11b&gt;=1  OR DG11c&gt;=1 </t>
  </si>
  <si>
    <t>DG12.2</t>
  </si>
  <si>
    <t>DG13.1</t>
  </si>
  <si>
    <t>IF DG12_2=1</t>
  </si>
  <si>
    <t>DG13.2</t>
  </si>
  <si>
    <t>DG13.3</t>
  </si>
  <si>
    <t>DG13.4</t>
  </si>
  <si>
    <t>DG13.5</t>
  </si>
  <si>
    <t>DG13.96</t>
  </si>
  <si>
    <t>DG14</t>
  </si>
  <si>
    <t>see sheet VDG14</t>
  </si>
  <si>
    <t>IF DG10b&gt;DG11b OR DG10c&gt;DG11c</t>
  </si>
  <si>
    <t>Subsection 1.2: Livelihood</t>
  </si>
  <si>
    <t>DL0</t>
  </si>
  <si>
    <t>DL0. Who is the main income earner in your household?</t>
  </si>
  <si>
    <t>1=Myself
2=Somebody else</t>
  </si>
  <si>
    <t>DL1</t>
  </si>
  <si>
    <r>
      <t>DL1. In the past 12 months, were you mainly...?</t>
    </r>
    <r>
      <rPr>
        <b/>
        <sz val="10"/>
        <rFont val="Arial"/>
        <family val="2"/>
      </rPr>
      <t/>
    </r>
  </si>
  <si>
    <t>see sheet vDL1</t>
  </si>
  <si>
    <t>DL2</t>
  </si>
  <si>
    <r>
      <t>DL2. What is your primary job (i.e., the job where you spend most of your time)?</t>
    </r>
    <r>
      <rPr>
        <b/>
        <sz val="10"/>
        <rFont val="Arial"/>
        <family val="2"/>
      </rPr>
      <t/>
    </r>
  </si>
  <si>
    <t>see sheet vDL2</t>
  </si>
  <si>
    <t>IF DL1&lt;=5</t>
  </si>
  <si>
    <t>DL3</t>
  </si>
  <si>
    <t>DL3. Do you have a secondary job/jobs?</t>
  </si>
  <si>
    <t>DL4.1</t>
  </si>
  <si>
    <t>DL4.2</t>
  </si>
  <si>
    <t>DL4.3</t>
  </si>
  <si>
    <t>DL4.4</t>
  </si>
  <si>
    <t>DL4.5</t>
  </si>
  <si>
    <t>DL4.6</t>
  </si>
  <si>
    <t>DL4.7</t>
  </si>
  <si>
    <t>DL4.8</t>
  </si>
  <si>
    <t>DL4.9</t>
  </si>
  <si>
    <t>DL4.10</t>
  </si>
  <si>
    <t>DL4.11</t>
  </si>
  <si>
    <t>DL4.12</t>
  </si>
  <si>
    <t>DL4.13</t>
  </si>
  <si>
    <t>DL4.14</t>
  </si>
  <si>
    <t>DL4.15</t>
  </si>
  <si>
    <t>DL4.16</t>
  </si>
  <si>
    <t>DL4.17</t>
  </si>
  <si>
    <t>DL4.18</t>
  </si>
  <si>
    <t>DL4.19</t>
  </si>
  <si>
    <t>DL4.20</t>
  </si>
  <si>
    <t>DL4.21</t>
  </si>
  <si>
    <t>DL4.22</t>
  </si>
  <si>
    <t>DL4.96</t>
  </si>
  <si>
    <t>DL4.99</t>
  </si>
  <si>
    <t>DL5</t>
  </si>
  <si>
    <t>DL5. You have said that these are the ways you got money in the past 12 months. Which of these brought you the most money?</t>
  </si>
  <si>
    <t>see sheet vDL4&amp;5</t>
  </si>
  <si>
    <t>IF DL4_1=1 or DL4_2=1 or DL4_3=1 or DL4_4=1 or DL4_5=1 or DL4_6=1 or DL4_7=1 or DL4_8=1 or DL4_9=1 or DL4_10=1 or DL4_11=1 or DL4_12=1 or DL4_13=1 or DL4_14=1 or DL4_15=1 or DL4_16=1 or DL4_17=1 or DL4_18=1 or DL4_19=1 or DL4_20=1 or DL4_21=1 or DL4_22=1 or DL4_96=1</t>
  </si>
  <si>
    <t>DL6</t>
  </si>
  <si>
    <t>DL7</t>
  </si>
  <si>
    <t xml:space="preserve">DL7. Do you work on the farm yourself?  </t>
  </si>
  <si>
    <t>IF DL6=1</t>
  </si>
  <si>
    <t>DL8</t>
  </si>
  <si>
    <t>Subsection 1.3: Migration</t>
  </si>
  <si>
    <t>DL11</t>
  </si>
  <si>
    <t>DL12</t>
  </si>
  <si>
    <t>DL12.What was the main reason you moved?</t>
  </si>
  <si>
    <t>See sheet vDL12</t>
  </si>
  <si>
    <t>IF DL11&gt;0</t>
  </si>
  <si>
    <t>DL13</t>
  </si>
  <si>
    <t>DL13.You said you relocated for work. Was that a move for a permanent job or did you relocate for a seasonal/temporary job?</t>
  </si>
  <si>
    <t>1=Permanent move
2=Seasonal/temporary job
99=DK</t>
  </si>
  <si>
    <t>IF DL12=4</t>
  </si>
  <si>
    <t>Subsection 1.4: Poverty measures</t>
  </si>
  <si>
    <t>DL14</t>
  </si>
  <si>
    <t>1=Six or more
2=Five
3=Four
4=Three
5=Two
6=One</t>
  </si>
  <si>
    <t>DL15</t>
  </si>
  <si>
    <t>DL15. Do all household members ages 6 to 18 currently attend school (government, private, NGO/religious, or boarding)?</t>
  </si>
  <si>
    <t>1=No members age 6 to 18
2=No 
3=Yes</t>
  </si>
  <si>
    <t>All</t>
  </si>
  <si>
    <t>DL16</t>
  </si>
  <si>
    <t>DL16. What is the highest level of education that the female head/spouse completed?</t>
  </si>
  <si>
    <t>1=None
2=Grade school (incl. disabled, Islamic, or non-formal)
3=Junior-high school (incl. disabled, Islamic, or non-formal)
4=No female head/spouse
5=Vocational school (high-school level)
6=High school (incl. disabled, Islamic, or non-formal)
7=Diploma (one-year or higher), or higher</t>
  </si>
  <si>
    <t>DL17</t>
  </si>
  <si>
    <t>DL17. What was the employment status of the male head/spouse in the past week in his main job?</t>
  </si>
  <si>
    <t>1=No male head/spouse
2=Not working, or unpaid worker
3=Self-employed
4=Business owner, or business owner with temporary or unpaid workers
5=Wage or salary employee
6=Business owner with permanent or paid workers</t>
  </si>
  <si>
    <t>DL18</t>
  </si>
  <si>
    <t>DL18. What is the main material of the floor?</t>
  </si>
  <si>
    <t>1=Earth or bamboo
2=Others</t>
  </si>
  <si>
    <t>DL19</t>
  </si>
  <si>
    <t>DL19. What is the type of toilet that is mainly used in your households?</t>
  </si>
  <si>
    <t>1=None, or latrine
2=Non-flush to a septic tank
3=Flush</t>
  </si>
  <si>
    <t>DL20</t>
  </si>
  <si>
    <t>DL20. What is the main cooking fuel?</t>
  </si>
  <si>
    <t>1=Firewood, charcoal, or coal
2=Gas/LPG, kerosene, electricity, others, or does not cook</t>
  </si>
  <si>
    <t>DL21</t>
  </si>
  <si>
    <t>DL21. Does the household have a gas cylinder of 12kg or more?</t>
  </si>
  <si>
    <t>1=No
2=Yes</t>
  </si>
  <si>
    <t>DL22</t>
  </si>
  <si>
    <t>DL22. Does the household have a refrigerator or freezer?</t>
  </si>
  <si>
    <t>DL23</t>
  </si>
  <si>
    <t>DL23. Does the household have a motorcycle, scooter, or motorized boat?</t>
  </si>
  <si>
    <t>DL24</t>
  </si>
  <si>
    <t>DL24.Please look at this card and tell me which answer best reflects your family's financial situation?</t>
  </si>
  <si>
    <t>1=We don't have enough money for food
2=We have enough money for food, but buying clothes is difficult
3=We have enough money for food and clothes, and can save a bit, but not enough to buy expensive goods such as a TV set or a refrigerator
4=We can afford to buy certain expensive goods such as a TV set or a refrigerator
5=We can afford to buy whatever we want
99=DK</t>
  </si>
  <si>
    <t>DL25.1</t>
  </si>
  <si>
    <t>DL25.2</t>
  </si>
  <si>
    <t>DL25.3</t>
  </si>
  <si>
    <t>DL25.4</t>
  </si>
  <si>
    <t>DL25.5</t>
  </si>
  <si>
    <t>DL25.6</t>
  </si>
  <si>
    <t>DL25.7</t>
  </si>
  <si>
    <t>DL25.8</t>
  </si>
  <si>
    <t>DL26.1</t>
  </si>
  <si>
    <t>DL26.2</t>
  </si>
  <si>
    <t>DL26.3</t>
  </si>
  <si>
    <t>DL26.4</t>
  </si>
  <si>
    <t>DL26.5</t>
  </si>
  <si>
    <t>DL26.6</t>
  </si>
  <si>
    <t>DL26.7</t>
  </si>
  <si>
    <t>DL26.8</t>
  </si>
  <si>
    <t>DL26.9</t>
  </si>
  <si>
    <t>DL26.10</t>
  </si>
  <si>
    <t>DL26.11</t>
  </si>
  <si>
    <t>DL26.96</t>
  </si>
  <si>
    <t>DL26.99</t>
  </si>
  <si>
    <t>DL27</t>
  </si>
  <si>
    <t>See sheet vDL26&amp;27</t>
  </si>
  <si>
    <t>IF DL26_1=1 OR DL26_2=1 OR DL26_3=1 OR DL26_4=1  OR DL26_5=1 OR DL26_6=1 OR DL26_7=1 OR DL26_8=1 OR DL26_9=1 OR DL26_10=1 OR DL26_96=1</t>
  </si>
  <si>
    <t>DL28</t>
  </si>
  <si>
    <t>DL28.What was the main thing done to make ends meet when (RISK SELECTED IN DL27) happened to you or your household?</t>
  </si>
  <si>
    <t>See sheet vDL28</t>
  </si>
  <si>
    <t>If (DL27&gt;=1 AND DL27&lt;=10) OR DL27=96</t>
  </si>
  <si>
    <t>Section II: ACCESS AND USE OF MOBILE TECHNOLOGY</t>
  </si>
  <si>
    <t>Section II: ACCESS TO AND OWNERSHIP OF MOBILE TECHNOLOGY</t>
  </si>
  <si>
    <t>Subsection 2.1: Mobile phones, access and ownership</t>
  </si>
  <si>
    <t>MT1</t>
  </si>
  <si>
    <t>MT1.How many people in your household have a mobile phone?</t>
  </si>
  <si>
    <t>MT1A</t>
  </si>
  <si>
    <t>MT1A.Who decides on who should have a phone in your household?</t>
  </si>
  <si>
    <t>MT2</t>
  </si>
  <si>
    <t>MT2.Do you personally own a mobile phone?</t>
  </si>
  <si>
    <t>MT3.1</t>
  </si>
  <si>
    <t>MT3.1. How many of the following types of phones do you personally have? Basic phone (only allows calling, messaging, and saving phone numbers)</t>
  </si>
  <si>
    <t>IF MT2=1</t>
  </si>
  <si>
    <t>MT3.2</t>
  </si>
  <si>
    <t>MT3.2. How many of the following types of phones do you personally have? Feature phone (has a camera, radio) etc</t>
  </si>
  <si>
    <t>MT3.3</t>
  </si>
  <si>
    <t>MT3.3. How many of the following types of phones do you personally have? Smartphone – has email, mobile applications, etc.</t>
  </si>
  <si>
    <t>MT4.1</t>
  </si>
  <si>
    <t>MT4.2</t>
  </si>
  <si>
    <t>MT4.3</t>
  </si>
  <si>
    <t>MT4.4</t>
  </si>
  <si>
    <t>MT4.5</t>
  </si>
  <si>
    <t>MT4.6</t>
  </si>
  <si>
    <t>MT5</t>
  </si>
  <si>
    <t>MT5.What was the main reason you obtained a mobile phone?</t>
  </si>
  <si>
    <t>1=To connect with other people whenever I want
2=To use social networks (Facebook, WhatsApp, Viber, Twitter, etc.)
3=To use mobile money services
4=Everyone else I know has one
5=Took advantage of a promotion
96=Other (Specify)
99=DK</t>
  </si>
  <si>
    <t>MT6</t>
  </si>
  <si>
    <t>MT6.How did you obtain your phone?</t>
  </si>
  <si>
    <t>1=I bought it myself
2=My spouse bought it for me / gave it to me
3=My parents bought it for me / gave it to me
4=My child (children) bought it for me / gave it to me
5=Other relative bought it for me / gave it to me
6=I found it
7=I don’t remember
96=Other (Specify)
99=DK</t>
  </si>
  <si>
    <t>MT6A</t>
  </si>
  <si>
    <t>MT6A.How frequently do you charge your phone/handset?</t>
  </si>
  <si>
    <t>1=Daily
2=Weekly
3=Every other week
4=Monthly
96=Other (Specify)
99=DK</t>
  </si>
  <si>
    <t>MT6B</t>
  </si>
  <si>
    <t>MT6B.Where do you charge your phone most frequently?</t>
  </si>
  <si>
    <t>1=Home
2=Neighbor’s house
3=Mobile money agency
4=At work
5=A retail shop
96=Other (Specify)
99=DK</t>
  </si>
  <si>
    <t>MT6C</t>
  </si>
  <si>
    <t>MT6C.On average, how much does it cost you each time to charge your phone? Unite: IDR</t>
  </si>
  <si>
    <t>MT7</t>
  </si>
  <si>
    <t>IF MT2=2</t>
  </si>
  <si>
    <t>MT7A</t>
  </si>
  <si>
    <t>MT7A.Who do you mostly borrow a mobile phone from?</t>
  </si>
  <si>
    <t>1=My spouse 
2=My parents 
3=My child (children) 
4=Brother
5=Sister
6=Agent/shop
7=Neighbor/friend
99=DK</t>
  </si>
  <si>
    <t>IF MT7=1</t>
  </si>
  <si>
    <t>MT8</t>
  </si>
  <si>
    <t>1=I pay
2=I borrow at no cost</t>
  </si>
  <si>
    <t>MT9</t>
  </si>
  <si>
    <t>See sheet vMT9</t>
  </si>
  <si>
    <t>IF MT7=2 AND MT2=2</t>
  </si>
  <si>
    <t>Subsection 2.2:SIM cards</t>
  </si>
  <si>
    <t>MT10</t>
  </si>
  <si>
    <t>1=Yes
2=No/not sure</t>
  </si>
  <si>
    <t>MT11</t>
  </si>
  <si>
    <t>IF MT10=1</t>
  </si>
  <si>
    <t>MT12.1</t>
  </si>
  <si>
    <t>MT12.2</t>
  </si>
  <si>
    <t>MT12.3</t>
  </si>
  <si>
    <t>MT12.4</t>
  </si>
  <si>
    <t>MT12.5</t>
  </si>
  <si>
    <t>MT12.6</t>
  </si>
  <si>
    <t>MT12.7</t>
  </si>
  <si>
    <t>MT12.96</t>
  </si>
  <si>
    <t>MT12.99</t>
  </si>
  <si>
    <t>MT13.1</t>
  </si>
  <si>
    <t>see sheet vMT13</t>
  </si>
  <si>
    <t>MT13.2</t>
  </si>
  <si>
    <t>MT13.3</t>
  </si>
  <si>
    <t>MT13.4</t>
  </si>
  <si>
    <t>MT13.5</t>
  </si>
  <si>
    <t>MT13.6</t>
  </si>
  <si>
    <t>MT13.7</t>
  </si>
  <si>
    <t>MT13.96</t>
  </si>
  <si>
    <t>MT14.1</t>
  </si>
  <si>
    <t>1=Both incoming and outgoing calls
2=Incoming calls only
3=Outgoing calls only
4=SMS
5=Internet/data
6=Mobile money
96=Other(Specify)
99=DK</t>
  </si>
  <si>
    <t>MT14.2</t>
  </si>
  <si>
    <t>1=Both incoming and outgoing calls
2=Incoming calls only
3=Outgoing calls only
4=SMS
5=Internet/data
6=Mobile money
96=Other(specify)
99=DK</t>
  </si>
  <si>
    <t>MT14.3</t>
  </si>
  <si>
    <t>MT14.4</t>
  </si>
  <si>
    <t>MT14.5</t>
  </si>
  <si>
    <t>MT14.6</t>
  </si>
  <si>
    <t>MT14.7</t>
  </si>
  <si>
    <t>MT14.96</t>
  </si>
  <si>
    <t>MT14A.1</t>
  </si>
  <si>
    <t>1=Very favorable
2=Somewhat favorable
3=Somewhat unfavorable
4=Very unfavorable</t>
  </si>
  <si>
    <t>MT14A.2</t>
  </si>
  <si>
    <t>MT14A.3</t>
  </si>
  <si>
    <t>MT14A.4</t>
  </si>
  <si>
    <t>MT14A.5</t>
  </si>
  <si>
    <t>MT14A.6</t>
  </si>
  <si>
    <t>MT14A.7</t>
  </si>
  <si>
    <t>MT14A.96</t>
  </si>
  <si>
    <t>MT14B</t>
  </si>
  <si>
    <t>MT14B.Which SIM card do you use most often?</t>
  </si>
  <si>
    <t>1=Telkomsel (Simpati, Halo, Kartu As)
2=Indosat (IM3, Mentari, Matrix)
3=XL
4=3
5=AXIS
6=Esia
7=Smartfren
96=Other(Specify)
99=DK</t>
  </si>
  <si>
    <t>IF (MT12_1&gt;0 OR MT12_2&gt;0 OR MT12_3&gt;0 OR MT12_4&gt;0 OR MT12_5&gt;0 OR MT12_6&gt;0 OR MT12_7&gt;0 OR MT12_96&gt;0) and at least two of above &gt;0</t>
  </si>
  <si>
    <t>MT14C.1</t>
  </si>
  <si>
    <t>IF (MT14B&gt;0 AND MT14B&lt;99) OR (MT12_1&gt;0 AND SYSMIS(MT14B)) OR (MT12_2&gt;0 AND SYSMIS(MT14B)) OR (MT12_3&gt;0 AND SYSMIS(MT14B)) OR (MT12_4&gt;0 AND SYSMIS(MT14B)) OR (MT12_5&gt;0 AND SYSMIS(MT14B)) OR (MT12_6&gt;0 AND SYSMIS(MT14B)) OR (MT12_7&gt;0 AND SYSMIS(MT14B)) OR (MT12_96&gt;0 AND SYSMIS(MT14B))</t>
  </si>
  <si>
    <t>MT14C.2</t>
  </si>
  <si>
    <t>MT14C.3</t>
  </si>
  <si>
    <t>MT14C.4</t>
  </si>
  <si>
    <t>MT15</t>
  </si>
  <si>
    <t>IF MT10=2</t>
  </si>
  <si>
    <t>MT16.1</t>
  </si>
  <si>
    <t>IF MT15=1</t>
  </si>
  <si>
    <t>MT16.2</t>
  </si>
  <si>
    <t>MT16.3</t>
  </si>
  <si>
    <t>MT16.4</t>
  </si>
  <si>
    <t>MT16.96</t>
  </si>
  <si>
    <t>MT16.99</t>
  </si>
  <si>
    <t>Subsection2.3: Mobile phone use</t>
  </si>
  <si>
    <t>Section III_1: FINANCIAL INSTRUMENTS</t>
  </si>
  <si>
    <t>MT17.1</t>
  </si>
  <si>
    <t>1=Yesterday
2=In the past 7 days
3=In the past  30 days
4=In the past 90 days
5=More than 90 days ago
6=Never</t>
  </si>
  <si>
    <t>IF MT2=1 OR MT7=1</t>
  </si>
  <si>
    <t>MT17.2</t>
  </si>
  <si>
    <t>MT17.3</t>
  </si>
  <si>
    <t>MT17.4</t>
  </si>
  <si>
    <t>MT17.5</t>
  </si>
  <si>
    <t>MT17.6</t>
  </si>
  <si>
    <t>MT17.7</t>
  </si>
  <si>
    <t>MT17.8</t>
  </si>
  <si>
    <t>MT17.9</t>
  </si>
  <si>
    <t>MT17.10</t>
  </si>
  <si>
    <t>MT17.11</t>
  </si>
  <si>
    <t>MT17.12</t>
  </si>
  <si>
    <t>MT17.13</t>
  </si>
  <si>
    <t>MT17A.1</t>
  </si>
  <si>
    <t>MT17A.1.When interacting with a phone, how difficult are the following tasks?Typing with the phone's keyboard</t>
  </si>
  <si>
    <t>1=Very difficult
2=Somewhat difficult
3=Neither difficult nor easy
4=Somewhat easy
5=very easy
99=DK</t>
  </si>
  <si>
    <t>MT17A.2</t>
  </si>
  <si>
    <t>MT17A.2.When interacting with a phone, how difficult are the following tasks?Opening an application or phone feature (i.e. navigate the menu)</t>
  </si>
  <si>
    <t>MT17A.3</t>
  </si>
  <si>
    <t>MT17A.3.When interacting with a phone, how difficult are the following tasks?Logging in to an application or website with a username and password</t>
  </si>
  <si>
    <t>MT17A.4</t>
  </si>
  <si>
    <t>MT17A.4.When interacting with a phone, how difficult are the following tasks?Following a series of text commands to complete a task (e.g. Press 1, then press 3)</t>
  </si>
  <si>
    <t>MT17A.5</t>
  </si>
  <si>
    <t>MT17A.5.When interacting with a phone, how difficult are the following tasks?Following a series of images to complete a task (e.g. clicking red box to do X or the green box to do Y)</t>
  </si>
  <si>
    <t>MT17A.6</t>
  </si>
  <si>
    <t>MT17A.6.When interacting with a phone, how difficult are the following tasks?Logging out of any accounts or closing down any applications/features</t>
  </si>
  <si>
    <t>MT18.1</t>
  </si>
  <si>
    <t>MT18.2</t>
  </si>
  <si>
    <t>MT18.3</t>
  </si>
  <si>
    <t>MT18.4</t>
  </si>
  <si>
    <t>MT18.5</t>
  </si>
  <si>
    <t>MT18.6</t>
  </si>
  <si>
    <t>MT18.7</t>
  </si>
  <si>
    <t>MT18.96</t>
  </si>
  <si>
    <t>MT18A.1</t>
  </si>
  <si>
    <t>MT7=2</t>
  </si>
  <si>
    <t>MT18A.2</t>
  </si>
  <si>
    <t>MT18A.3</t>
  </si>
  <si>
    <t>MT18A.4</t>
  </si>
  <si>
    <t>Section III: FINANCIAL INSTRUMENTS/BANKS</t>
  </si>
  <si>
    <t>Subsection3.1: Formal Financial Instruments</t>
  </si>
  <si>
    <t>FF1</t>
  </si>
  <si>
    <t>FF2</t>
  </si>
  <si>
    <t>FF2. Do you usually make transactions with your bank account yourself or does somebody else do them on your behalf?</t>
  </si>
  <si>
    <t>IF FF1=1</t>
  </si>
  <si>
    <t>FF2A</t>
  </si>
  <si>
    <t>FF2A. What was the main reason you signed up for a bank account?</t>
  </si>
  <si>
    <t>See sheet vFF2A</t>
  </si>
  <si>
    <t>FF3</t>
  </si>
  <si>
    <t>FF3.What is the main reason you do not have a bank account?</t>
  </si>
  <si>
    <t>See sheet vFF3</t>
  </si>
  <si>
    <t>IF FF1=2</t>
  </si>
  <si>
    <t>FF4</t>
  </si>
  <si>
    <t>FF4.Do you use a bank account that belongs to somebody else if you need to?</t>
  </si>
  <si>
    <t>Subsection3.2: Digital FI filter</t>
  </si>
  <si>
    <t>FF5</t>
  </si>
  <si>
    <t>FF5.Which of the following services does your bank offer? It does not matter if you use those services, I just want to know if they are available to you.</t>
  </si>
  <si>
    <t>1=At least one of the following: Savings, money transfers, insurance,  investment
2=Only loans
3=NONE OF THE ABOVE</t>
  </si>
  <si>
    <t>IF FF1=1 OR FF4=1</t>
  </si>
  <si>
    <t>FF6.1</t>
  </si>
  <si>
    <t>1=Yes
2=No
99=DK</t>
  </si>
  <si>
    <t>FF6_1</t>
  </si>
  <si>
    <t>FF6.2</t>
  </si>
  <si>
    <t>FF6_2</t>
  </si>
  <si>
    <t>FF6.3</t>
  </si>
  <si>
    <t>FF6_3</t>
  </si>
  <si>
    <t>FF6.4</t>
  </si>
  <si>
    <t>FF6_4</t>
  </si>
  <si>
    <t>Subsection 3.3: Bank account use</t>
  </si>
  <si>
    <t>Section MM: Digital Financial Services/Mobile Money</t>
  </si>
  <si>
    <t>FF7.1</t>
  </si>
  <si>
    <t>FF7.2</t>
  </si>
  <si>
    <t>FF7.3</t>
  </si>
  <si>
    <t>FF7.4</t>
  </si>
  <si>
    <t>FF7.5</t>
  </si>
  <si>
    <t>FF7.6</t>
  </si>
  <si>
    <t>FF7.7</t>
  </si>
  <si>
    <t>FF7.96</t>
  </si>
  <si>
    <t>FF8.1</t>
  </si>
  <si>
    <t>IF FF4=1</t>
  </si>
  <si>
    <t>FF8.2</t>
  </si>
  <si>
    <t>FF8.3</t>
  </si>
  <si>
    <t>FF8.4</t>
  </si>
  <si>
    <t>FF8.5</t>
  </si>
  <si>
    <t>FF8.6</t>
  </si>
  <si>
    <t>FF8.7</t>
  </si>
  <si>
    <t>FF8.96</t>
  </si>
  <si>
    <t>FF9</t>
  </si>
  <si>
    <t>FF10.1</t>
  </si>
  <si>
    <t>IF FF9&lt;=5</t>
  </si>
  <si>
    <t>FF10.2</t>
  </si>
  <si>
    <t>FF10.3</t>
  </si>
  <si>
    <t>FF10.4</t>
  </si>
  <si>
    <t>FF10.5</t>
  </si>
  <si>
    <t>FF10.6</t>
  </si>
  <si>
    <t>FF10.96</t>
  </si>
  <si>
    <t>FF13</t>
  </si>
  <si>
    <t>IF FF10_1=1 OR FF10_2=1 OR FF10_3=1 OR FF10_4=1 OR FF10_5=1 OR FF10_6=1 OR FF10_96=1</t>
  </si>
  <si>
    <t>FF14.1</t>
  </si>
  <si>
    <t>FF14.2</t>
  </si>
  <si>
    <t>FF14.3</t>
  </si>
  <si>
    <t>FF14.4</t>
  </si>
  <si>
    <t>FF14.5</t>
  </si>
  <si>
    <t>FF14.6</t>
  </si>
  <si>
    <t>FF14.7</t>
  </si>
  <si>
    <t>FF14.8</t>
  </si>
  <si>
    <t>FF14.9</t>
  </si>
  <si>
    <t>FF14.10</t>
  </si>
  <si>
    <t>FF14.11</t>
  </si>
  <si>
    <t>FF14.12</t>
  </si>
  <si>
    <t>FF14.13</t>
  </si>
  <si>
    <t>FF14.14</t>
  </si>
  <si>
    <t>FF14.15</t>
  </si>
  <si>
    <t>FF14.16</t>
  </si>
  <si>
    <t>FF14.17</t>
  </si>
  <si>
    <t>FF14.18</t>
  </si>
  <si>
    <t>FF14.19</t>
  </si>
  <si>
    <t>FF14.20</t>
  </si>
  <si>
    <t>FF14.21</t>
  </si>
  <si>
    <t>FF14.22</t>
  </si>
  <si>
    <t>FF14.23</t>
  </si>
  <si>
    <t>FF14.96</t>
  </si>
  <si>
    <t>FF16.1</t>
  </si>
  <si>
    <t>FF16.2</t>
  </si>
  <si>
    <t>FF16.3</t>
  </si>
  <si>
    <t>FF16.4</t>
  </si>
  <si>
    <t>FF16.5</t>
  </si>
  <si>
    <t>FF16.6</t>
  </si>
  <si>
    <t>FF16.7</t>
  </si>
  <si>
    <t>FF16.8</t>
  </si>
  <si>
    <t>FF16.9</t>
  </si>
  <si>
    <t>FF16.10</t>
  </si>
  <si>
    <t>FF16.11</t>
  </si>
  <si>
    <t>FF16.12</t>
  </si>
  <si>
    <t>FF16.13</t>
  </si>
  <si>
    <t>FF16.14</t>
  </si>
  <si>
    <t>FF16.15</t>
  </si>
  <si>
    <t>FF16.16</t>
  </si>
  <si>
    <t>FF16.17</t>
  </si>
  <si>
    <t>FF16.18</t>
  </si>
  <si>
    <t>FF16.19</t>
  </si>
  <si>
    <t>FF16.20</t>
  </si>
  <si>
    <t>FF16.21</t>
  </si>
  <si>
    <t>FF16.22</t>
  </si>
  <si>
    <t>FF16.23</t>
  </si>
  <si>
    <t>FF16.96</t>
  </si>
  <si>
    <t>FF19.1</t>
  </si>
  <si>
    <t>FF19.2</t>
  </si>
  <si>
    <t>FF19.3</t>
  </si>
  <si>
    <t>FF19.4</t>
  </si>
  <si>
    <t>FF19.5</t>
  </si>
  <si>
    <t>FF19.6</t>
  </si>
  <si>
    <t>FF19.7</t>
  </si>
  <si>
    <t>FF19.8</t>
  </si>
  <si>
    <t>FF19.9</t>
  </si>
  <si>
    <t>FF20</t>
  </si>
  <si>
    <t>FF20.Do you currently have a loan through your bank account?</t>
  </si>
  <si>
    <t>IF FF14_15=1</t>
  </si>
  <si>
    <t>SECTION IV: MOBILE MONEY</t>
  </si>
  <si>
    <t>Subsection 4.1: Awareness, access, ownership</t>
  </si>
  <si>
    <t>MM1</t>
  </si>
  <si>
    <t>MM1.Have you ever heard of something called Mobile Money?</t>
  </si>
  <si>
    <t>MM2.1</t>
  </si>
  <si>
    <t>MM2.2</t>
  </si>
  <si>
    <t>MM2.3</t>
  </si>
  <si>
    <t>MM2.4</t>
  </si>
  <si>
    <t>MM2.5</t>
  </si>
  <si>
    <t>MM2.6</t>
  </si>
  <si>
    <t>MM2.7</t>
  </si>
  <si>
    <t>MM2.8</t>
  </si>
  <si>
    <t>MM2.9</t>
  </si>
  <si>
    <t>MM2.10</t>
  </si>
  <si>
    <t>MM2.96</t>
  </si>
  <si>
    <t>MM3.1</t>
  </si>
  <si>
    <t>MM3.2</t>
  </si>
  <si>
    <t>MM3.3</t>
  </si>
  <si>
    <t>MM3.4</t>
  </si>
  <si>
    <t>MM3.5</t>
  </si>
  <si>
    <t>MM3.6</t>
  </si>
  <si>
    <t>MM3.7</t>
  </si>
  <si>
    <t>MM3.8</t>
  </si>
  <si>
    <t>MM3.9</t>
  </si>
  <si>
    <t>MM3.10</t>
  </si>
  <si>
    <t>MM3.96</t>
  </si>
  <si>
    <t>MM4.1</t>
  </si>
  <si>
    <t>MM4.2</t>
  </si>
  <si>
    <t>MM4.3</t>
  </si>
  <si>
    <t>MM4.4</t>
  </si>
  <si>
    <t>MM4.5</t>
  </si>
  <si>
    <t>MM4.6</t>
  </si>
  <si>
    <t>MM4.7</t>
  </si>
  <si>
    <t>MM4.8</t>
  </si>
  <si>
    <t>MM4.9</t>
  </si>
  <si>
    <t>MM4.10</t>
  </si>
  <si>
    <t>MM4.96</t>
  </si>
  <si>
    <t>MM5.1</t>
  </si>
  <si>
    <t>1=Yesterday
2=In the past 7 days
3=In the past 30 days
4=In the past 90 days
5=More than 90 days ago</t>
  </si>
  <si>
    <t>MM5.2</t>
  </si>
  <si>
    <t>MM5.3</t>
  </si>
  <si>
    <t>MM5.4</t>
  </si>
  <si>
    <t>MM5.5</t>
  </si>
  <si>
    <t>MM5.6</t>
  </si>
  <si>
    <t>MM5.7</t>
  </si>
  <si>
    <t>MM5.8</t>
  </si>
  <si>
    <t>MM5.9</t>
  </si>
  <si>
    <t>MM5.10</t>
  </si>
  <si>
    <t>MM5.96</t>
  </si>
  <si>
    <t>MM5A.1</t>
  </si>
  <si>
    <t>1=Morning
2=Afternoon
3=Evening
4=At night</t>
  </si>
  <si>
    <t>MM5A.2</t>
  </si>
  <si>
    <t>MM5A.3</t>
  </si>
  <si>
    <t>MM5A.4</t>
  </si>
  <si>
    <t>MM5A.5</t>
  </si>
  <si>
    <t>MM5A.6</t>
  </si>
  <si>
    <t>MM5A.7</t>
  </si>
  <si>
    <t>MM5A.8</t>
  </si>
  <si>
    <t>MM5A.9</t>
  </si>
  <si>
    <t>MM5A.10</t>
  </si>
  <si>
    <t>MM5A.96</t>
  </si>
  <si>
    <t>MM6.1</t>
  </si>
  <si>
    <t>MM6.2</t>
  </si>
  <si>
    <t>MM6.3</t>
  </si>
  <si>
    <t>MM6.4</t>
  </si>
  <si>
    <t>MM6.5</t>
  </si>
  <si>
    <t>MM6.6</t>
  </si>
  <si>
    <t>MM6.7</t>
  </si>
  <si>
    <t>MM6.8</t>
  </si>
  <si>
    <t>MM6.9</t>
  </si>
  <si>
    <t>MM6.10</t>
  </si>
  <si>
    <t>MM6.96</t>
  </si>
  <si>
    <t>MM7.1</t>
  </si>
  <si>
    <t>1=Before
2=After
99=DK</t>
  </si>
  <si>
    <t>MM7.2</t>
  </si>
  <si>
    <t>MM7.3</t>
  </si>
  <si>
    <t>MM7.4</t>
  </si>
  <si>
    <t>MM7.5</t>
  </si>
  <si>
    <t>MM7.6</t>
  </si>
  <si>
    <t>MM7.7</t>
  </si>
  <si>
    <t>MM7.8</t>
  </si>
  <si>
    <t>MM7.9</t>
  </si>
  <si>
    <t>MM7.10</t>
  </si>
  <si>
    <t>MM7.96</t>
  </si>
  <si>
    <t>MM8.1</t>
  </si>
  <si>
    <t>1=Yesterday
2=In the past 7 days
3=In the past 30 days
4=In the past 90 days
5=More than 90 days ago
6=Never</t>
  </si>
  <si>
    <t>MM8.2</t>
  </si>
  <si>
    <t>MM8.3</t>
  </si>
  <si>
    <t>MM8.4</t>
  </si>
  <si>
    <t>MM8.5</t>
  </si>
  <si>
    <t>MM8.6</t>
  </si>
  <si>
    <t>MM8.7</t>
  </si>
  <si>
    <t>MM8.8</t>
  </si>
  <si>
    <t>MM8.9</t>
  </si>
  <si>
    <t>MM8.10</t>
  </si>
  <si>
    <t>MM8.96</t>
  </si>
  <si>
    <t>MM9</t>
  </si>
  <si>
    <t>MM9.For how long have you been using mobile money services?</t>
  </si>
  <si>
    <t>1=Less than 1 month
2=More than 1 month to 3 months
3=More than 3 months to 6 months
4=More than 6 months to 1 year
5=More than 1 year</t>
  </si>
  <si>
    <t>MM9A</t>
  </si>
  <si>
    <t>MM9A.How important are mobile money service offerings in influencing your choice of cell service provider?</t>
  </si>
  <si>
    <t>1=Very important
2=Somewhat important
3=Neither important nor unimportant
4=Somewhat unimportant
5=Not important at all</t>
  </si>
  <si>
    <t>MM10B</t>
  </si>
  <si>
    <t>MM10B.What is the biggest challenge you face when using mobile money?</t>
  </si>
  <si>
    <t>1=Service system downtime
2=Agent system downtime
3=Difficulty operating the phone/using menu
4=Unclear transaction charges/fees
5=Agent float/cash availability
6=Contacting customer care
7=Sending to a wrong number
8=Family/friends stealing money
96=Other (specify)
99=DK</t>
  </si>
  <si>
    <t>IF MM10A_1=1 OR MM10A_2=1 OR MM10A_3=1 OR MM10A_4=1 OR MM10A_5=1 OR MM10A_6=1 OR MM10A_7=1 OR MM10A_8=1 OR MM10A_96=1</t>
  </si>
  <si>
    <t>Subsection 4.2: Mobile money use and nonuse</t>
  </si>
  <si>
    <t>MM11.1.1</t>
  </si>
  <si>
    <t>MM11.1.2</t>
  </si>
  <si>
    <t>IF MM4_1=1</t>
  </si>
  <si>
    <t>MM11.1.3</t>
  </si>
  <si>
    <t>MM11.1.4</t>
  </si>
  <si>
    <t>MM11.1.5</t>
  </si>
  <si>
    <t>MM11.1.6</t>
  </si>
  <si>
    <t>MM11.1.96</t>
  </si>
  <si>
    <t>MM11.2.1</t>
  </si>
  <si>
    <t>MM11.2.2</t>
  </si>
  <si>
    <t>IF MM4_2=1</t>
  </si>
  <si>
    <t>MM11.2.3</t>
  </si>
  <si>
    <t>MM11.2.4</t>
  </si>
  <si>
    <t>MM11.2.5</t>
  </si>
  <si>
    <t>MM11.2.6</t>
  </si>
  <si>
    <t>MM11.2.96</t>
  </si>
  <si>
    <t>MM11.3.1</t>
  </si>
  <si>
    <t>IF MM4_3=1</t>
  </si>
  <si>
    <t>MM11.3.2</t>
  </si>
  <si>
    <t>MM11.3.3</t>
  </si>
  <si>
    <t>MM11.3.4</t>
  </si>
  <si>
    <t>MM11.3.5</t>
  </si>
  <si>
    <t>MM11.3.6</t>
  </si>
  <si>
    <t>MM11.3.96</t>
  </si>
  <si>
    <t>MM11.4.1</t>
  </si>
  <si>
    <t>IF MM4_4=1</t>
  </si>
  <si>
    <t>MM11.4.2</t>
  </si>
  <si>
    <t>MM11.4.3</t>
  </si>
  <si>
    <t>MM11.4.4</t>
  </si>
  <si>
    <t>MM11.4.5</t>
  </si>
  <si>
    <t>MM11.4.6</t>
  </si>
  <si>
    <t>MM11.4.96</t>
  </si>
  <si>
    <t>MM11.5.1</t>
  </si>
  <si>
    <t>IF MM4_5=1</t>
  </si>
  <si>
    <t>MM11.5.2</t>
  </si>
  <si>
    <t>MM11.5.3</t>
  </si>
  <si>
    <t>MM11.5.4</t>
  </si>
  <si>
    <t>MM11.5.5</t>
  </si>
  <si>
    <t>MM11.5.6</t>
  </si>
  <si>
    <t>MM11.5.96</t>
  </si>
  <si>
    <t>MM11.6.1</t>
  </si>
  <si>
    <t>IF MM4_6=1</t>
  </si>
  <si>
    <t>MM11.6.2</t>
  </si>
  <si>
    <t>MM11.6.3</t>
  </si>
  <si>
    <t>MM11.6.4</t>
  </si>
  <si>
    <t>MM11.6.5</t>
  </si>
  <si>
    <t>MM11.6.6</t>
  </si>
  <si>
    <t>MM11.6.96</t>
  </si>
  <si>
    <t>MM11.7.1</t>
  </si>
  <si>
    <t>IF MM4_7=1</t>
  </si>
  <si>
    <t>MM11.7.2</t>
  </si>
  <si>
    <t>MM11.7.3</t>
  </si>
  <si>
    <t>MM11.7.4</t>
  </si>
  <si>
    <t>MM11.7.5</t>
  </si>
  <si>
    <t>MM11.7.6</t>
  </si>
  <si>
    <t>MM11.7.96</t>
  </si>
  <si>
    <t>MM11.8.1</t>
  </si>
  <si>
    <t>IF MM4_8=1</t>
  </si>
  <si>
    <t>MM11.8.2</t>
  </si>
  <si>
    <t>MM11.8.3</t>
  </si>
  <si>
    <t>MM11.8.4</t>
  </si>
  <si>
    <t>MM11.8.5</t>
  </si>
  <si>
    <t>MM11.8.6</t>
  </si>
  <si>
    <t>MM11.8.96</t>
  </si>
  <si>
    <t>MM11.9.1</t>
  </si>
  <si>
    <t>IF MM4_9=1</t>
  </si>
  <si>
    <t>MM11.9.2</t>
  </si>
  <si>
    <t>MM11.9.3</t>
  </si>
  <si>
    <t>MM11.9.4</t>
  </si>
  <si>
    <t>MM11.9.5</t>
  </si>
  <si>
    <t>MM11.9.6</t>
  </si>
  <si>
    <t>MM11.9.96</t>
  </si>
  <si>
    <t>MM11.10.1</t>
  </si>
  <si>
    <t>IF MM4_10=1</t>
  </si>
  <si>
    <t>MM11.10.2</t>
  </si>
  <si>
    <t>MM11.10.3</t>
  </si>
  <si>
    <t>MM11.10.4</t>
  </si>
  <si>
    <t>MM11.10.5</t>
  </si>
  <si>
    <t>MM11.10.6</t>
  </si>
  <si>
    <t>MM11.10.96</t>
  </si>
  <si>
    <t>MM11.96.1</t>
  </si>
  <si>
    <t>IF MM4_96=1</t>
  </si>
  <si>
    <t>MM11.96.2</t>
  </si>
  <si>
    <t>MM11.96.3</t>
  </si>
  <si>
    <t>MM11.96.4</t>
  </si>
  <si>
    <t>MM11.96.5</t>
  </si>
  <si>
    <t>MM11.96.6</t>
  </si>
  <si>
    <t>MM11.96.96</t>
  </si>
  <si>
    <t>MM12</t>
  </si>
  <si>
    <t>MM12.What is the main reason you have never used mobile money services?</t>
  </si>
  <si>
    <t>SEE sheet vMM12</t>
  </si>
  <si>
    <t>MM13</t>
  </si>
  <si>
    <t>MM13. What is the main reason you have not signed up for a mobile money account even though you are using the services?</t>
  </si>
  <si>
    <t>SEE sheet vMM13</t>
  </si>
  <si>
    <t>MM14</t>
  </si>
  <si>
    <t xml:space="preserve">See sheet vMM14 </t>
  </si>
  <si>
    <t>MM15.1</t>
  </si>
  <si>
    <t>MM15.2</t>
  </si>
  <si>
    <t>MM15.3</t>
  </si>
  <si>
    <t>MM15.4</t>
  </si>
  <si>
    <t>MM15.5</t>
  </si>
  <si>
    <t>MM15.6</t>
  </si>
  <si>
    <t>MM15.7</t>
  </si>
  <si>
    <t>MM15.8</t>
  </si>
  <si>
    <t>MM15.9</t>
  </si>
  <si>
    <t>MM15.10</t>
  </si>
  <si>
    <t>MM15.11</t>
  </si>
  <si>
    <t>MM15.12</t>
  </si>
  <si>
    <t>MM15.13</t>
  </si>
  <si>
    <t>MM15.14</t>
  </si>
  <si>
    <t>MM15.15</t>
  </si>
  <si>
    <t>MM15.16</t>
  </si>
  <si>
    <t>MM15.17</t>
  </si>
  <si>
    <t>MM15.18</t>
  </si>
  <si>
    <t>MM15.19</t>
  </si>
  <si>
    <t>MM15.20</t>
  </si>
  <si>
    <t>MM15.21</t>
  </si>
  <si>
    <t>MM15.22</t>
  </si>
  <si>
    <t>MM15.23</t>
  </si>
  <si>
    <t>MM15.96</t>
  </si>
  <si>
    <t>MM17.1</t>
  </si>
  <si>
    <t>MM17.2</t>
  </si>
  <si>
    <t>MM17.3</t>
  </si>
  <si>
    <t>MM17.4</t>
  </si>
  <si>
    <t>MM17.5</t>
  </si>
  <si>
    <t>MM17.6</t>
  </si>
  <si>
    <t>MM17.7</t>
  </si>
  <si>
    <t>MM17.8</t>
  </si>
  <si>
    <t>MM17.9</t>
  </si>
  <si>
    <t>MM17.10</t>
  </si>
  <si>
    <t>MM17.11</t>
  </si>
  <si>
    <t>MM17.12</t>
  </si>
  <si>
    <t>MM17.13</t>
  </si>
  <si>
    <t>MM17.14</t>
  </si>
  <si>
    <t>MM17.15</t>
  </si>
  <si>
    <t>MM17.16</t>
  </si>
  <si>
    <t>MM17.17</t>
  </si>
  <si>
    <t>MM17.18</t>
  </si>
  <si>
    <t>MM17.19</t>
  </si>
  <si>
    <t>MM17.20</t>
  </si>
  <si>
    <t>MM17.21</t>
  </si>
  <si>
    <t>MM17.22</t>
  </si>
  <si>
    <t>MM17.23</t>
  </si>
  <si>
    <t>MM17.96</t>
  </si>
  <si>
    <t>MM17A</t>
  </si>
  <si>
    <t>MM17A.Do you currently have a loan through your mobile money account?</t>
  </si>
  <si>
    <t>IF MM15_15=1</t>
  </si>
  <si>
    <t>MM18</t>
  </si>
  <si>
    <t>See sheet vMM18&amp;19</t>
  </si>
  <si>
    <t>IF MM15_9=1</t>
  </si>
  <si>
    <t>MM19</t>
  </si>
  <si>
    <t>IF MM15_10=1</t>
  </si>
  <si>
    <t>MM20</t>
  </si>
  <si>
    <t>MM20.For the money you receive from other people via mobile money services, how do you handle it most frequently? Do you…?</t>
  </si>
  <si>
    <t>See sheet vMM20</t>
  </si>
  <si>
    <t>MM21</t>
  </si>
  <si>
    <t xml:space="preserve">MM21.When you use mobile money for merchant payments, how do you usually make a payment? </t>
  </si>
  <si>
    <t>1=Send to the merchant’s till number
2=Send to the merchant’s mobile money account
3=Not sure</t>
  </si>
  <si>
    <t>IF MM15_20=1</t>
  </si>
  <si>
    <t>MM23</t>
  </si>
  <si>
    <t xml:space="preserve">MM23.On average, for how many days do you keep money on a mobile money account before you withdraw or spend it? </t>
  </si>
  <si>
    <t>IF MM20=2 OR MM20=3 OR MM20=4 OR MM20=5</t>
  </si>
  <si>
    <t>MM24.1</t>
  </si>
  <si>
    <t>MM24.2</t>
  </si>
  <si>
    <t>MM24.3</t>
  </si>
  <si>
    <t>MM24.4</t>
  </si>
  <si>
    <t>MM24.5</t>
  </si>
  <si>
    <t>MM24.6</t>
  </si>
  <si>
    <t>MM24.7</t>
  </si>
  <si>
    <t>MM24.8</t>
  </si>
  <si>
    <t>MM24.96</t>
  </si>
  <si>
    <t>MM25</t>
  </si>
  <si>
    <t>1=This month
2=In the past 6 months 
3=6-12 months ago
4=More than a year ago
5=Not sure</t>
  </si>
  <si>
    <t>Subsection 4.3: OTC</t>
  </si>
  <si>
    <t>MM28.1</t>
  </si>
  <si>
    <t>MM28.2</t>
  </si>
  <si>
    <t>MM28.3</t>
  </si>
  <si>
    <t>MM28.4</t>
  </si>
  <si>
    <t>MM28.5</t>
  </si>
  <si>
    <t>MM28.6</t>
  </si>
  <si>
    <t>MM28.96</t>
  </si>
  <si>
    <t>MM29</t>
  </si>
  <si>
    <t>MM29.Do you usually make transactions with your mobile money account yourself or does somebody else do them on your behalf?</t>
  </si>
  <si>
    <t>1=Make transactions myself
2=Somebody does them on my behalf
3=I have never used my account for any transaction</t>
  </si>
  <si>
    <t>MM30</t>
  </si>
  <si>
    <t>MM30. Who is the person who makes transactions on your behalf most frequently?</t>
  </si>
  <si>
    <t>1=Male relative
2=Female relative
3=Male friend
4=Female friend
5=Mobile money agent
6=I do it myself
96=Other(specify)</t>
  </si>
  <si>
    <t>IF MM29=2</t>
  </si>
  <si>
    <t>MM31.1</t>
  </si>
  <si>
    <t>MM31.2</t>
  </si>
  <si>
    <t>MM31.3</t>
  </si>
  <si>
    <t>MM31.4</t>
  </si>
  <si>
    <t>MM31.5</t>
  </si>
  <si>
    <t>MM31.6</t>
  </si>
  <si>
    <t>MM31.7</t>
  </si>
  <si>
    <t>MM31.8</t>
  </si>
  <si>
    <t>MM31.9</t>
  </si>
  <si>
    <t>MM31.10</t>
  </si>
  <si>
    <t>MM31.11</t>
  </si>
  <si>
    <t>MM31.12</t>
  </si>
  <si>
    <t>MM31.13</t>
  </si>
  <si>
    <t>MM32.1</t>
  </si>
  <si>
    <t>1=Very Easy
2=Easy
3=Difficult
4=Very difficult
99=DK</t>
  </si>
  <si>
    <t>MM32.2</t>
  </si>
  <si>
    <t>MM32.3</t>
  </si>
  <si>
    <t>MM32.4</t>
  </si>
  <si>
    <t>MM32.5</t>
  </si>
  <si>
    <t>MM32.6</t>
  </si>
  <si>
    <t>MM32.7</t>
  </si>
  <si>
    <t>MM32.8</t>
  </si>
  <si>
    <t>MM32.9</t>
  </si>
  <si>
    <t>MM32.10</t>
  </si>
  <si>
    <t>MM32.11</t>
  </si>
  <si>
    <t>MM32.12</t>
  </si>
  <si>
    <t>MM32.13</t>
  </si>
  <si>
    <t>Subsection 4.4: Experiences with mobile money agents</t>
  </si>
  <si>
    <t>MM33</t>
  </si>
  <si>
    <t>1=Yes 
2=No</t>
  </si>
  <si>
    <t>MM34</t>
  </si>
  <si>
    <t>see sheet vMM34</t>
  </si>
  <si>
    <t>IF MM33=1</t>
  </si>
  <si>
    <t>MM35</t>
  </si>
  <si>
    <t>MM36.1</t>
  </si>
  <si>
    <t>MM36.2</t>
  </si>
  <si>
    <t>MM36.3</t>
  </si>
  <si>
    <t>MM36.4</t>
  </si>
  <si>
    <t>MM36.5</t>
  </si>
  <si>
    <t>MM36.6</t>
  </si>
  <si>
    <t>MM36.7</t>
  </si>
  <si>
    <t>MM36.8</t>
  </si>
  <si>
    <t>MM36.9</t>
  </si>
  <si>
    <t>MM36.10</t>
  </si>
  <si>
    <t>MM36.96</t>
  </si>
  <si>
    <t>MM37.1</t>
  </si>
  <si>
    <t>MM37.2</t>
  </si>
  <si>
    <t>MM37.3</t>
  </si>
  <si>
    <t>MM37.4</t>
  </si>
  <si>
    <t>MM37.5</t>
  </si>
  <si>
    <t>MM37.6</t>
  </si>
  <si>
    <t>MM37.7</t>
  </si>
  <si>
    <t>MM37.96</t>
  </si>
  <si>
    <t>MM38.1</t>
  </si>
  <si>
    <t>MM38.2</t>
  </si>
  <si>
    <t>MM38.3</t>
  </si>
  <si>
    <t>MM38.4</t>
  </si>
  <si>
    <t>MM38.5</t>
  </si>
  <si>
    <t>MM38.6</t>
  </si>
  <si>
    <t>MM38.7</t>
  </si>
  <si>
    <t>MM38.8</t>
  </si>
  <si>
    <t>MM38.9</t>
  </si>
  <si>
    <t>MM38.10</t>
  </si>
  <si>
    <t>MM38.11</t>
  </si>
  <si>
    <t>MM38.12</t>
  </si>
  <si>
    <t>MM38.13</t>
  </si>
  <si>
    <t>MM38.14</t>
  </si>
  <si>
    <t>MM38.15</t>
  </si>
  <si>
    <t>MM38.16</t>
  </si>
  <si>
    <t>MM38.17</t>
  </si>
  <si>
    <t>MM38.96</t>
  </si>
  <si>
    <t>MM40.1</t>
  </si>
  <si>
    <t>MM40.2</t>
  </si>
  <si>
    <t>MM40.3</t>
  </si>
  <si>
    <t>MM40.4</t>
  </si>
  <si>
    <t>MM40.5</t>
  </si>
  <si>
    <t>MM40.6</t>
  </si>
  <si>
    <t>MM40.7</t>
  </si>
  <si>
    <t>MM40.8</t>
  </si>
  <si>
    <t>MM40.9</t>
  </si>
  <si>
    <t>MM40.10</t>
  </si>
  <si>
    <t>MM40.11</t>
  </si>
  <si>
    <t>MM40.12</t>
  </si>
  <si>
    <t>MM40.13</t>
  </si>
  <si>
    <t>MM40.14</t>
  </si>
  <si>
    <t>MM40.15</t>
  </si>
  <si>
    <t>MM40.16</t>
  </si>
  <si>
    <t>MM40.17</t>
  </si>
  <si>
    <t>MM40.96</t>
  </si>
  <si>
    <t>MM41</t>
  </si>
  <si>
    <t>1=Resolve it yourself
2=MM agent
3=MM provider/customer service
4=Family member
5=Friend or neighbor
7=Mobile money transactions never go wrong
96=Other(specify)</t>
  </si>
  <si>
    <t>MM42.1</t>
  </si>
  <si>
    <t>1=Strongly Agree
2=Agree
3=Disagree
4=Strongly disagree</t>
  </si>
  <si>
    <t>MM42.2</t>
  </si>
  <si>
    <t>MM42.3</t>
  </si>
  <si>
    <t>MM42.4</t>
  </si>
  <si>
    <t>MM42.5</t>
  </si>
  <si>
    <t>MM42.6</t>
  </si>
  <si>
    <t>Subsection4.5: Other MM products (Where applicable)</t>
  </si>
  <si>
    <t>MMP1.1</t>
  </si>
  <si>
    <t>MMP1.2</t>
  </si>
  <si>
    <t>MMP1.3</t>
  </si>
  <si>
    <t>MMP1.4</t>
  </si>
  <si>
    <t>MMP1.5</t>
  </si>
  <si>
    <t>MMP1.6</t>
  </si>
  <si>
    <t>MMP1.7</t>
  </si>
  <si>
    <t>MMP1.8</t>
  </si>
  <si>
    <t>MMP1.9</t>
  </si>
  <si>
    <t>MMP1.10</t>
  </si>
  <si>
    <t>MMP1.96</t>
  </si>
  <si>
    <t>MMP2.1</t>
  </si>
  <si>
    <t>MMP2.2</t>
  </si>
  <si>
    <t>MMP2.3</t>
  </si>
  <si>
    <t>MMP2.4</t>
  </si>
  <si>
    <t>MMP2.5</t>
  </si>
  <si>
    <t>MMP2.6</t>
  </si>
  <si>
    <t>MMP2.7</t>
  </si>
  <si>
    <t>MMP2.8</t>
  </si>
  <si>
    <t>MMP2.9</t>
  </si>
  <si>
    <t>MMP2.10</t>
  </si>
  <si>
    <t>MMP2.96</t>
  </si>
  <si>
    <t>MMP3.1</t>
  </si>
  <si>
    <t>MMP3.2</t>
  </si>
  <si>
    <t>MMP3.3</t>
  </si>
  <si>
    <t>MMP3.4</t>
  </si>
  <si>
    <t>MMP3.5</t>
  </si>
  <si>
    <t>MMP3.6</t>
  </si>
  <si>
    <t>MMP3.7</t>
  </si>
  <si>
    <t>MMP3.8</t>
  </si>
  <si>
    <t>MMP3.9</t>
  </si>
  <si>
    <t>MMP3.10</t>
  </si>
  <si>
    <t>MMP3.96</t>
  </si>
  <si>
    <t>MMP4.1</t>
  </si>
  <si>
    <t>1=Yesterday
2=In the past 7 days
3=In the past 30 days
4=In the past 90 days
5=More than 90 days ago
6= Never</t>
  </si>
  <si>
    <t>MMP4.2</t>
  </si>
  <si>
    <t>MMP4.3</t>
  </si>
  <si>
    <t>MMP4.4</t>
  </si>
  <si>
    <t>MMP4.5</t>
  </si>
  <si>
    <t>MMP4.6</t>
  </si>
  <si>
    <t>MMP4.7</t>
  </si>
  <si>
    <t>MMP4.8</t>
  </si>
  <si>
    <t>MMP4.9</t>
  </si>
  <si>
    <t>MMP4.10</t>
  </si>
  <si>
    <t>MMP4.96</t>
  </si>
  <si>
    <t>SECTION V: NONBANK FINANCIAL INSTITUTIONS</t>
  </si>
  <si>
    <t>Subsection 5.1: Awareness, access, ownership</t>
  </si>
  <si>
    <t>IFI1.1</t>
  </si>
  <si>
    <t>IFI2.1</t>
  </si>
  <si>
    <t>IF IFI1_1=1</t>
  </si>
  <si>
    <t>IFI3.1</t>
  </si>
  <si>
    <t>IFI4.1</t>
  </si>
  <si>
    <t>IF IFI3_1=1</t>
  </si>
  <si>
    <t>IFI1.2</t>
  </si>
  <si>
    <t>IFI2.2</t>
  </si>
  <si>
    <t>IF IFI1_2=1</t>
  </si>
  <si>
    <t>IFI3.2</t>
  </si>
  <si>
    <t>IFI4.2</t>
  </si>
  <si>
    <t>IF IFI3_2=1</t>
  </si>
  <si>
    <t>IFI1.3</t>
  </si>
  <si>
    <t>IFI2.3</t>
  </si>
  <si>
    <t>IF IFI1_3=1</t>
  </si>
  <si>
    <t>IFI3.3</t>
  </si>
  <si>
    <t>IFI4.3</t>
  </si>
  <si>
    <t>IF IFI3_3=1</t>
  </si>
  <si>
    <t>IFI1.4</t>
  </si>
  <si>
    <t>IFI2.4</t>
  </si>
  <si>
    <t>IF IFI1_4=1</t>
  </si>
  <si>
    <t>IFI3.4</t>
  </si>
  <si>
    <t>IFI4.4</t>
  </si>
  <si>
    <t>IF IFI3_4=1</t>
  </si>
  <si>
    <t>IFI1.5</t>
  </si>
  <si>
    <t>IFI2.5</t>
  </si>
  <si>
    <t>IF IFI1_5=1</t>
  </si>
  <si>
    <t>IFI1.6</t>
  </si>
  <si>
    <t>IFI2.6</t>
  </si>
  <si>
    <t>IF IFI1_6=1</t>
  </si>
  <si>
    <t>IFI1.7</t>
  </si>
  <si>
    <t>IFI2.7</t>
  </si>
  <si>
    <t>IF IFI1_7=1</t>
  </si>
  <si>
    <t>IFI1.8</t>
  </si>
  <si>
    <t>IFI2.8</t>
  </si>
  <si>
    <t>IF IFI1_8=1</t>
  </si>
  <si>
    <t>IFI1.9</t>
  </si>
  <si>
    <t>IFI2.9</t>
  </si>
  <si>
    <t>IF IFI1_9=1</t>
  </si>
  <si>
    <t>IFI1.96</t>
  </si>
  <si>
    <t>IFI2.96</t>
  </si>
  <si>
    <t>IF IFI1_96=1</t>
  </si>
  <si>
    <t>IFI5.1</t>
  </si>
  <si>
    <t>1= At least one of the following: savings, money transfers, insurance, investments
2= Only loans
3= NONE OF THE ABOVE</t>
  </si>
  <si>
    <t>IFI5.2</t>
  </si>
  <si>
    <t>IFI5.3</t>
  </si>
  <si>
    <t>IFI5.4</t>
  </si>
  <si>
    <t>IFI6.1</t>
  </si>
  <si>
    <t>IFI6.2</t>
  </si>
  <si>
    <t>IFI6.3</t>
  </si>
  <si>
    <t>IFI6.4</t>
  </si>
  <si>
    <t>IFI7.1</t>
  </si>
  <si>
    <t>IFI7.2</t>
  </si>
  <si>
    <t>IFI7.3</t>
  </si>
  <si>
    <t>IFI7.4</t>
  </si>
  <si>
    <t>IFI8.1</t>
  </si>
  <si>
    <t>IFI8.2</t>
  </si>
  <si>
    <t>IFI8.3</t>
  </si>
  <si>
    <t>IFI8.4</t>
  </si>
  <si>
    <t>IFI9.1</t>
  </si>
  <si>
    <t>IFI9.2</t>
  </si>
  <si>
    <t>IFI9.3</t>
  </si>
  <si>
    <t>IFI9.4</t>
  </si>
  <si>
    <t>IFI10.1</t>
  </si>
  <si>
    <t>IFI10.2</t>
  </si>
  <si>
    <t>IFI10.3</t>
  </si>
  <si>
    <t>IFI10.4</t>
  </si>
  <si>
    <t>IFI10.5</t>
  </si>
  <si>
    <t>IFI10.6</t>
  </si>
  <si>
    <t>IFI10.7</t>
  </si>
  <si>
    <t>IFI10.8</t>
  </si>
  <si>
    <t>IFI10.9</t>
  </si>
  <si>
    <t>IFI10.10</t>
  </si>
  <si>
    <t>IFI10.11</t>
  </si>
  <si>
    <t>IFI10.12</t>
  </si>
  <si>
    <t>IFI10.13</t>
  </si>
  <si>
    <t>IFI10.14</t>
  </si>
  <si>
    <t>IFI10.15</t>
  </si>
  <si>
    <t>IFI10.16</t>
  </si>
  <si>
    <t>IFI10.17</t>
  </si>
  <si>
    <t>IFI10.18</t>
  </si>
  <si>
    <t>IFI10.19</t>
  </si>
  <si>
    <t>IFI10.20</t>
  </si>
  <si>
    <t>IFI10.21</t>
  </si>
  <si>
    <t>IFI10.22</t>
  </si>
  <si>
    <t>IFI10.23</t>
  </si>
  <si>
    <t>IFI10.96</t>
  </si>
  <si>
    <t>IFI11.1</t>
  </si>
  <si>
    <t>IFI11.2</t>
  </si>
  <si>
    <t>IFI11.3</t>
  </si>
  <si>
    <t>IFI11.4</t>
  </si>
  <si>
    <t>IFI11.5</t>
  </si>
  <si>
    <t>IFI11.6</t>
  </si>
  <si>
    <t>IFI11.7</t>
  </si>
  <si>
    <t>IFI11.8</t>
  </si>
  <si>
    <t>IFI11.9</t>
  </si>
  <si>
    <t>IFI11.10</t>
  </si>
  <si>
    <t>IFI11.11</t>
  </si>
  <si>
    <t>IFI11.12</t>
  </si>
  <si>
    <t>IFI11.13</t>
  </si>
  <si>
    <t>IFI11.14</t>
  </si>
  <si>
    <t>IFI11.15</t>
  </si>
  <si>
    <t>IFI11.16</t>
  </si>
  <si>
    <t>IFI11.17</t>
  </si>
  <si>
    <t>IFI11.18</t>
  </si>
  <si>
    <t>IFI11.19</t>
  </si>
  <si>
    <t>IFI11.20</t>
  </si>
  <si>
    <t>IFI11.21</t>
  </si>
  <si>
    <t>IFI11.22</t>
  </si>
  <si>
    <t>IFI11.23</t>
  </si>
  <si>
    <t>IFI11.96</t>
  </si>
  <si>
    <t>IFI12.1</t>
  </si>
  <si>
    <t>IFI12.2</t>
  </si>
  <si>
    <t>IFI12.3</t>
  </si>
  <si>
    <t>IFI12.4</t>
  </si>
  <si>
    <t>IFI12.5</t>
  </si>
  <si>
    <t>IFI12.6</t>
  </si>
  <si>
    <t>IFI12.7</t>
  </si>
  <si>
    <t>IFI12.8</t>
  </si>
  <si>
    <t>IFI12.9</t>
  </si>
  <si>
    <t>IFI12.10</t>
  </si>
  <si>
    <t>IFI12.11</t>
  </si>
  <si>
    <t>IFI12.12</t>
  </si>
  <si>
    <t>IFI12.13</t>
  </si>
  <si>
    <t>IFI12.14</t>
  </si>
  <si>
    <t>IFI12.15</t>
  </si>
  <si>
    <t>IFI12.16</t>
  </si>
  <si>
    <t>IFI12.17</t>
  </si>
  <si>
    <t>IFI12.18</t>
  </si>
  <si>
    <t>IFI12.19</t>
  </si>
  <si>
    <t>IFI12.20</t>
  </si>
  <si>
    <t>IFI12.21</t>
  </si>
  <si>
    <t>IFI12.22</t>
  </si>
  <si>
    <t>IFI12.23</t>
  </si>
  <si>
    <t>IFI12.96</t>
  </si>
  <si>
    <t>IFI13.1</t>
  </si>
  <si>
    <t>IFI13.2</t>
  </si>
  <si>
    <t>IFI13.3</t>
  </si>
  <si>
    <t>IFI13.4</t>
  </si>
  <si>
    <t>IFI13.5</t>
  </si>
  <si>
    <t>IFI13.6</t>
  </si>
  <si>
    <t>IFI13.7</t>
  </si>
  <si>
    <t>IFI13.8</t>
  </si>
  <si>
    <t>IFI13.9</t>
  </si>
  <si>
    <t>IFI13.10</t>
  </si>
  <si>
    <t>IFI13.11</t>
  </si>
  <si>
    <t>IFI13.12</t>
  </si>
  <si>
    <t>IFI13.13</t>
  </si>
  <si>
    <t>IFI13.14</t>
  </si>
  <si>
    <t>IFI13.15</t>
  </si>
  <si>
    <t>IFI13.16</t>
  </si>
  <si>
    <t>IFI13.17</t>
  </si>
  <si>
    <t>IFI13.18</t>
  </si>
  <si>
    <t>IFI13.19</t>
  </si>
  <si>
    <t>IFI13.20</t>
  </si>
  <si>
    <t>IFI13.21</t>
  </si>
  <si>
    <t>IFI13.22</t>
  </si>
  <si>
    <t>IFI13.23</t>
  </si>
  <si>
    <t>IFI13.96</t>
  </si>
  <si>
    <t>Subsection 5.2: Distance and reach</t>
  </si>
  <si>
    <t>IFI14.1</t>
  </si>
  <si>
    <t>1=0.5 km or less
2=More than 0.5 km to 1km
3=More than 1km to 5km
4=More than 5km to 10km
5=More than 10km to 15km
6=More than 15km 
99=DK</t>
  </si>
  <si>
    <t>IFI14.2</t>
  </si>
  <si>
    <t>IFI14.3</t>
  </si>
  <si>
    <t>IFI14.4</t>
  </si>
  <si>
    <t>IFI14.5</t>
  </si>
  <si>
    <t>IFI14.6</t>
  </si>
  <si>
    <t>IFI14.7</t>
  </si>
  <si>
    <t>IFI14.8</t>
  </si>
  <si>
    <t>IFI14.9</t>
  </si>
  <si>
    <t>IFI15.1</t>
  </si>
  <si>
    <t>1=15 minutes or less
2=More than 15 to 30 minutes
3=More than 30 minutes to an hour
4=More than an hour to 2 hours
5=More than 2 hours to 4 hours
6=More than 4 hours
99=DK</t>
  </si>
  <si>
    <t>IFI15.2</t>
  </si>
  <si>
    <t>IFI15.3</t>
  </si>
  <si>
    <t>IFI15.4</t>
  </si>
  <si>
    <t>IFI15.5</t>
  </si>
  <si>
    <t>IFI15.6</t>
  </si>
  <si>
    <t>IFI15.7</t>
  </si>
  <si>
    <t>IFI15.8</t>
  </si>
  <si>
    <t>IFI15.9</t>
  </si>
  <si>
    <t>IFI16.1</t>
  </si>
  <si>
    <t>See sheet vIFI16</t>
  </si>
  <si>
    <t>IFI16.2</t>
  </si>
  <si>
    <t>IFI16.3</t>
  </si>
  <si>
    <t>IFI16.4</t>
  </si>
  <si>
    <t>IFI16.5</t>
  </si>
  <si>
    <t>IFI16.6</t>
  </si>
  <si>
    <t>IFI16.7</t>
  </si>
  <si>
    <t>IFI16.8</t>
  </si>
  <si>
    <t>IFI16.9</t>
  </si>
  <si>
    <t>IFI17.1</t>
  </si>
  <si>
    <t>1=Very easy
2=Somewhat easy
3=Neither difficult nor easy
4=Somewhat difficult
5=Very difficult
99=DK</t>
  </si>
  <si>
    <t>IF IFI14_1&lt;=6</t>
  </si>
  <si>
    <t>IFI17.2</t>
  </si>
  <si>
    <t>IF IFI14_2&lt;=6</t>
  </si>
  <si>
    <t>IFI17.3</t>
  </si>
  <si>
    <t>IF IFI14_3&lt;=6</t>
  </si>
  <si>
    <t>IFI17.4</t>
  </si>
  <si>
    <t>IF IFI14_4&lt;=6</t>
  </si>
  <si>
    <t>IFI17.5</t>
  </si>
  <si>
    <t>IF IFI14_5&lt;=6</t>
  </si>
  <si>
    <t>IFI17.6</t>
  </si>
  <si>
    <t>IF IFI14_6&lt;=6</t>
  </si>
  <si>
    <t>IFI17.7</t>
  </si>
  <si>
    <t>IF IFI14_7&lt;=6</t>
  </si>
  <si>
    <t>IFI17.8</t>
  </si>
  <si>
    <t>IF IFI14_8&lt;=6</t>
  </si>
  <si>
    <t>IFI17.9</t>
  </si>
  <si>
    <t>IF IFI14_9&lt;=6</t>
  </si>
  <si>
    <t>Subsection 5.3: Savings and loans groups</t>
  </si>
  <si>
    <t>IFI18</t>
  </si>
  <si>
    <t>IFI20.1</t>
  </si>
  <si>
    <t>IF IFI18&gt;0</t>
  </si>
  <si>
    <t>IFI20.2</t>
  </si>
  <si>
    <t>IFI20.3</t>
  </si>
  <si>
    <t>IFI20.4</t>
  </si>
  <si>
    <t>IFI20.5</t>
  </si>
  <si>
    <t>IFI20.6</t>
  </si>
  <si>
    <t>IFI20.7</t>
  </si>
  <si>
    <t>IFI20.8</t>
  </si>
  <si>
    <t>IFI20.9</t>
  </si>
  <si>
    <t>IFI21</t>
  </si>
  <si>
    <t>IFI21.What is the most important reason you use informal societies and/or group saving schemes?</t>
  </si>
  <si>
    <t>See sheet vIFI21</t>
  </si>
  <si>
    <t>IFI22.1</t>
  </si>
  <si>
    <t>IFI22.2</t>
  </si>
  <si>
    <t>IFI22.3</t>
  </si>
  <si>
    <t>IFI22.4</t>
  </si>
  <si>
    <t>IFI22.5</t>
  </si>
  <si>
    <t>IFI22.6</t>
  </si>
  <si>
    <t>IFI23.1</t>
  </si>
  <si>
    <t>IFI23.2</t>
  </si>
  <si>
    <t>IFI24</t>
  </si>
  <si>
    <t>IFI24.What is the main reason you do not belong to any informal societies or group saving schemes?</t>
  </si>
  <si>
    <t>See sheet vIFI24</t>
  </si>
  <si>
    <t>IF IFI18=0</t>
  </si>
  <si>
    <t>Section VI: FINANCIAL LITERACY</t>
  </si>
  <si>
    <t>Subsection6.1: Budget planning</t>
  </si>
  <si>
    <t>FL1</t>
  </si>
  <si>
    <t>1=Always or most of the time
2=Sometimes
3=Rarely
4=Never</t>
  </si>
  <si>
    <t>FL2</t>
  </si>
  <si>
    <t>IF FL1&lt;=3</t>
  </si>
  <si>
    <t>FL3</t>
  </si>
  <si>
    <t>1=1 day
2=1 week
3=1 month
4=3 months
5=6 months
6=1 year
7=5 years
8=Do not plan household expenses
96=Other (Specify)</t>
  </si>
  <si>
    <t>FL4</t>
  </si>
  <si>
    <t xml:space="preserve">see sheet vFL4 </t>
  </si>
  <si>
    <t>FL6.1</t>
  </si>
  <si>
    <t>FL6.2</t>
  </si>
  <si>
    <t>FL6.3</t>
  </si>
  <si>
    <t>FL6.4</t>
  </si>
  <si>
    <t>FL7.1</t>
  </si>
  <si>
    <t>FL7.2</t>
  </si>
  <si>
    <t>FL7.3</t>
  </si>
  <si>
    <t>FL7.4</t>
  </si>
  <si>
    <t>FL7.5</t>
  </si>
  <si>
    <t>FL7.6</t>
  </si>
  <si>
    <t>FL8.1</t>
  </si>
  <si>
    <t>1=Strongly agree
2=Agree
3=Neither agree nor disagree
4=Disagree
5=Strongly disagree</t>
  </si>
  <si>
    <t>FL8.2</t>
  </si>
  <si>
    <t>FL8.3</t>
  </si>
  <si>
    <t>FL8.4</t>
  </si>
  <si>
    <t>FL8.5</t>
  </si>
  <si>
    <t>FL8.6</t>
  </si>
  <si>
    <t>FL8.7</t>
  </si>
  <si>
    <t>FL9A</t>
  </si>
  <si>
    <t>See sheet vFL9</t>
  </si>
  <si>
    <t>FL9B</t>
  </si>
  <si>
    <t>FL9C</t>
  </si>
  <si>
    <t>FL10</t>
  </si>
  <si>
    <t>See sheet Vfl10</t>
  </si>
  <si>
    <t>FL11</t>
  </si>
  <si>
    <t>1=Very likely
2=Somewhat likely
3=Somewhat unlikely
4=Very unlikely
99=DK</t>
  </si>
  <si>
    <t>Subsection 6.2: Numeracy and Literacy</t>
  </si>
  <si>
    <t>FL12</t>
  </si>
  <si>
    <t>1=12,000 IDR
2=Any other answer
99=DK</t>
  </si>
  <si>
    <t>FL13</t>
  </si>
  <si>
    <t>1=2,000 IDR
2=Any other answer
99=DK</t>
  </si>
  <si>
    <t>FL14</t>
  </si>
  <si>
    <t>1=One business or investment
2=Multiple businesses or investments
99=DK</t>
  </si>
  <si>
    <t>FL15</t>
  </si>
  <si>
    <t>1=Less
2=The same
3=More
99=DK</t>
  </si>
  <si>
    <t>FL16</t>
  </si>
  <si>
    <t>1=10,500
2=10,000 plus 3 percent
99=DK</t>
  </si>
  <si>
    <t>FL17</t>
  </si>
  <si>
    <t>1=More
2=The same
99=DK</t>
  </si>
  <si>
    <t>FL18</t>
  </si>
  <si>
    <t>1=More than Rp. 15,000
2=Exactly Rp. 15,000
3=Less than  Rp. 15,000
99=DK</t>
  </si>
  <si>
    <t>SECTION VII: FINANCIAL BEHAVIORS</t>
  </si>
  <si>
    <t>Subsection 7.2: Borrowing/Credit</t>
  </si>
  <si>
    <t>FB1.1</t>
  </si>
  <si>
    <t>1=Agree
2=Disagree</t>
  </si>
  <si>
    <t>FB1.2</t>
  </si>
  <si>
    <t>FB1.3</t>
  </si>
  <si>
    <t>FB2</t>
  </si>
  <si>
    <t>1=The ability to borrow money for capital or an investment
2=The ability to borrow money in case of an emergency
3=The ability to purchase goods or services and pay for them later</t>
  </si>
  <si>
    <t>FB3</t>
  </si>
  <si>
    <t>FB4.1</t>
  </si>
  <si>
    <t>IF FB3=1</t>
  </si>
  <si>
    <t>FB4.2</t>
  </si>
  <si>
    <t>FB4.3</t>
  </si>
  <si>
    <t>FB4.4</t>
  </si>
  <si>
    <t>FB4.96</t>
  </si>
  <si>
    <t>FB13</t>
  </si>
  <si>
    <t xml:space="preserve">N/A
99=DK
</t>
  </si>
  <si>
    <t>numeric</t>
  </si>
  <si>
    <t>FB14</t>
  </si>
  <si>
    <t>IF FB13&gt;0</t>
  </si>
  <si>
    <t>FB15</t>
  </si>
  <si>
    <t>FB16.1</t>
  </si>
  <si>
    <t>FB16.2</t>
  </si>
  <si>
    <t>FB16.3</t>
  </si>
  <si>
    <t>FB16.4</t>
  </si>
  <si>
    <t>FB16.5</t>
  </si>
  <si>
    <t>FB16.6</t>
  </si>
  <si>
    <t>FB16.7</t>
  </si>
  <si>
    <t>FB16.8</t>
  </si>
  <si>
    <t>FB16.9</t>
  </si>
  <si>
    <t>FB16.10</t>
  </si>
  <si>
    <t>FB16.11</t>
  </si>
  <si>
    <t>FB16.12</t>
  </si>
  <si>
    <t>FB16.13</t>
  </si>
  <si>
    <t>FB16.14</t>
  </si>
  <si>
    <t>FB16.15</t>
  </si>
  <si>
    <t>FB16.96</t>
  </si>
  <si>
    <t>FB16A.1</t>
  </si>
  <si>
    <t>FB16A.2</t>
  </si>
  <si>
    <t>FB16A.3</t>
  </si>
  <si>
    <t>FB16A.4</t>
  </si>
  <si>
    <t>FB16A.5</t>
  </si>
  <si>
    <t>FB16A.6</t>
  </si>
  <si>
    <t>FB16A.7</t>
  </si>
  <si>
    <t>FB16A.8</t>
  </si>
  <si>
    <t>FB16A.9</t>
  </si>
  <si>
    <t>FB16A.10</t>
  </si>
  <si>
    <t>FB16A.11</t>
  </si>
  <si>
    <t>FB16A.12</t>
  </si>
  <si>
    <t>FB16A.13</t>
  </si>
  <si>
    <t>FB16A.14</t>
  </si>
  <si>
    <t>FB16A.15</t>
  </si>
  <si>
    <t>FB16A.96</t>
  </si>
  <si>
    <t>FB17.1</t>
  </si>
  <si>
    <t>FB17.2</t>
  </si>
  <si>
    <t>FB17.3</t>
  </si>
  <si>
    <t>FB17.4</t>
  </si>
  <si>
    <t>FB17.5</t>
  </si>
  <si>
    <t>FB17.6</t>
  </si>
  <si>
    <t>FB17.7</t>
  </si>
  <si>
    <t>FB17.8</t>
  </si>
  <si>
    <t>FB17.9</t>
  </si>
  <si>
    <t>FB17.10</t>
  </si>
  <si>
    <t>FB17.11</t>
  </si>
  <si>
    <t>FB17.12</t>
  </si>
  <si>
    <t>FB17.13</t>
  </si>
  <si>
    <t>FB17.14</t>
  </si>
  <si>
    <t>FB17.15</t>
  </si>
  <si>
    <t>FB17.96</t>
  </si>
  <si>
    <t>FB18</t>
  </si>
  <si>
    <t>1=I repay in full before the deadline
2=I repay on the agreed day – neither before the deadline nor after the deadline
3=I ask for an extension for repayment
4=I occasionally fail to repay by the deadline and forget to ask for an extension
5=I do not borrow money/do not have loans</t>
  </si>
  <si>
    <t>FB19</t>
  </si>
  <si>
    <t xml:space="preserve">See sheet vFB19 </t>
  </si>
  <si>
    <t>FB19A.1</t>
  </si>
  <si>
    <t>FB19A.2</t>
  </si>
  <si>
    <t>FB19A.3</t>
  </si>
  <si>
    <t>FB19A.4</t>
  </si>
  <si>
    <t>FB19A.5</t>
  </si>
  <si>
    <t>FB19A.96</t>
  </si>
  <si>
    <t>FB19B.1</t>
  </si>
  <si>
    <t>FB19B.2</t>
  </si>
  <si>
    <t>FB19B.3</t>
  </si>
  <si>
    <t>FB19B.4</t>
  </si>
  <si>
    <t>FB19B.5</t>
  </si>
  <si>
    <t>FB19B.96</t>
  </si>
  <si>
    <t>FB20</t>
  </si>
  <si>
    <t xml:space="preserve">See sheet vFB20&amp;21 </t>
  </si>
  <si>
    <t>IF FB16_1=2</t>
  </si>
  <si>
    <t>FB21</t>
  </si>
  <si>
    <t>IF FB16_2=2</t>
  </si>
  <si>
    <t>Subsection 7.3: Savings</t>
  </si>
  <si>
    <t>FB22.1</t>
  </si>
  <si>
    <t>FB22.2</t>
  </si>
  <si>
    <t>FB22.3</t>
  </si>
  <si>
    <t>FB22.4</t>
  </si>
  <si>
    <t>FB22.5</t>
  </si>
  <si>
    <t>FB22.6</t>
  </si>
  <si>
    <t>FB22.7</t>
  </si>
  <si>
    <t>FB22.8</t>
  </si>
  <si>
    <t>FB22.9</t>
  </si>
  <si>
    <t>FB22.96</t>
  </si>
  <si>
    <t>FB23.1</t>
  </si>
  <si>
    <t>FB23.2</t>
  </si>
  <si>
    <t>FB23.3</t>
  </si>
  <si>
    <t>FB23.4</t>
  </si>
  <si>
    <t>FB23.7</t>
  </si>
  <si>
    <t>FB23.96</t>
  </si>
  <si>
    <t>FB24</t>
  </si>
  <si>
    <t>see sheet vFB24&amp;25</t>
  </si>
  <si>
    <t>IF FB22_1=2</t>
  </si>
  <si>
    <t>FB25</t>
  </si>
  <si>
    <t>IF FB22_2=2</t>
  </si>
  <si>
    <t>FB26.1</t>
  </si>
  <si>
    <t>IF FB22_1=1 OR FB22_2=1 OR FB22_3=1 OR FB22_4=1 OR FB22_5=1 OR FB22_6=1 OR FB22_7=1 OR FB22_8=1 OR FB22_9=1 OR FB22_96=1</t>
  </si>
  <si>
    <t>FB26.2</t>
  </si>
  <si>
    <t>FB26.3</t>
  </si>
  <si>
    <t>FB26.4</t>
  </si>
  <si>
    <t>FB26.5</t>
  </si>
  <si>
    <t>FB26.6</t>
  </si>
  <si>
    <t>FB26.7</t>
  </si>
  <si>
    <t>FB26.8</t>
  </si>
  <si>
    <t>FB26.9</t>
  </si>
  <si>
    <t>FB26.10</t>
  </si>
  <si>
    <t>FB26.11</t>
  </si>
  <si>
    <t>FB26.96</t>
  </si>
  <si>
    <t>Subsection 7.4: Insurance</t>
  </si>
  <si>
    <t>FB27.1</t>
  </si>
  <si>
    <t>FB27.2</t>
  </si>
  <si>
    <t>FB27.3</t>
  </si>
  <si>
    <t>FB27.4</t>
  </si>
  <si>
    <t>FB27.5</t>
  </si>
  <si>
    <t>FB27.6</t>
  </si>
  <si>
    <t>FB27.7</t>
  </si>
  <si>
    <t>FB27.8</t>
  </si>
  <si>
    <t>FB27.96</t>
  </si>
  <si>
    <t>FB28.1</t>
  </si>
  <si>
    <t xml:space="preserve">1=Government / Public Insurance
2=NGO
3=Private/ bank partnership Insurance
4=Required with loan
5=From seed company
6=Mobile money/telephony provider
8=Spousal or family insurance coverage
96=Other (Specify)
</t>
  </si>
  <si>
    <t>FB28.2</t>
  </si>
  <si>
    <t>FB28.3</t>
  </si>
  <si>
    <t>FB28.4</t>
  </si>
  <si>
    <t>FB28.5</t>
  </si>
  <si>
    <t>FB28.6</t>
  </si>
  <si>
    <t>FB28.7</t>
  </si>
  <si>
    <t>FB28.8</t>
  </si>
  <si>
    <t>FB28.96</t>
  </si>
  <si>
    <t>Subsection 7.5: Investment</t>
  </si>
  <si>
    <t>FB29.1</t>
  </si>
  <si>
    <t>FB29.2</t>
  </si>
  <si>
    <t>FB29.3</t>
  </si>
  <si>
    <t>FB29.4</t>
  </si>
  <si>
    <t>FB29.5</t>
  </si>
  <si>
    <t>FB29.6</t>
  </si>
  <si>
    <t>FB29.96</t>
  </si>
  <si>
    <t>Subsection 7.6: Institutional Trust</t>
  </si>
  <si>
    <t>FB30.1</t>
  </si>
  <si>
    <t xml:space="preserve">1=Completely distrust
2=Somewhat distrust
3=Neither trust, nor distrust
4=Somewhat trust
5=Completely trust
6=Not enough familiarity to form opinion / DK
</t>
  </si>
  <si>
    <t>FB30.2</t>
  </si>
  <si>
    <t>FB30.3</t>
  </si>
  <si>
    <t>FB30.4</t>
  </si>
  <si>
    <t>FB30.5</t>
  </si>
  <si>
    <t>FB30.6</t>
  </si>
  <si>
    <t>FB30.7</t>
  </si>
  <si>
    <t>FB30.8</t>
  </si>
  <si>
    <t>FB31</t>
  </si>
  <si>
    <t>See sheet vFB30&amp;31&amp;32</t>
  </si>
  <si>
    <t>FB32</t>
  </si>
  <si>
    <t>SECTION VIII: LITERACY</t>
  </si>
  <si>
    <t>LN1A</t>
  </si>
  <si>
    <t>LN1A. Can you read this text for me, please? (Reading)</t>
  </si>
  <si>
    <t>1=Respondent read the informed consent form fluently and without any help from the interviewer
2=Respondent read the informed consent form well but had a little help from the interviewer
3=Respondent struggled to read the informed consent form and had a lot of help from the interviewer
4=Respondent was unable to read the consent form and requested the interviewer read it to them</t>
  </si>
  <si>
    <t>LN1B</t>
  </si>
  <si>
    <t>LN1B. Can you read this text for me, please? (Understanding)</t>
  </si>
  <si>
    <t xml:space="preserve">1=The respondent fully understood the informed consent form without any help from the interviewer (confirm by asking)
2=Respondent understood the informed consent form well but asked for a little help from the interviewer
3=Respondent struggled to understand the informed consent form and asked for a lot of help from the interviewer
4=Respondent was unable to understand the informed consent form and interviewer explained it, in full, using simpler language    </t>
  </si>
  <si>
    <t>LN2.1</t>
  </si>
  <si>
    <t>LN2.2</t>
  </si>
  <si>
    <t>LN2.3</t>
  </si>
  <si>
    <t>LN2.4</t>
  </si>
  <si>
    <t>LN2.5</t>
  </si>
  <si>
    <t>LN2.6</t>
  </si>
  <si>
    <t>LN2.7</t>
  </si>
  <si>
    <t>LN2.8</t>
  </si>
  <si>
    <t>LN2.9</t>
  </si>
  <si>
    <t>LN2.10</t>
  </si>
  <si>
    <t xml:space="preserve">SECTION IX: GENDER </t>
  </si>
  <si>
    <t>Section RI: Respondent Information</t>
  </si>
  <si>
    <t>GN1</t>
  </si>
  <si>
    <t>1=Self
2=Spouse
3=Joint decision
4=Parents/ guardians
96=Other(specify)
99=DK</t>
  </si>
  <si>
    <t>IF DL1&lt;=5 OR DL4_1=1 OR DL4_2=1 OR DL4_3=1 OR DL4_4=1 OR DL4_5=1 OR DL4_6=1 OR DL4_7=1 OR DL4_8=1 OR DL4_9=1 OR DL4_10=1 OR DL4_11=1 OR DL4_12=1 OR DL4_13=1 OR DL4_14=1 OR DL4_15=1 OR DL4_16=1 OR DL4_17=1 OR DL4_18=1 OR DL4_19=1 OR DL4_20=1 OR DL4_21=1 OR DL4_22=1 OR DL4_96=1</t>
  </si>
  <si>
    <t>GN2</t>
  </si>
  <si>
    <t>GN3</t>
  </si>
  <si>
    <t>GN4</t>
  </si>
  <si>
    <t>GN5</t>
  </si>
  <si>
    <t>GQ1</t>
  </si>
  <si>
    <t>IF DG2=2</t>
  </si>
  <si>
    <t>GQ2</t>
  </si>
  <si>
    <t>GQ2.Are there ways you use your own money private and not shared with anyone else in your family?</t>
  </si>
  <si>
    <t>IF DG2=2 AND GQ1=1</t>
  </si>
  <si>
    <t>1=Male
2=Female
3=Both</t>
  </si>
  <si>
    <t>GQ3</t>
  </si>
  <si>
    <t>GQ3.Do you strongly agree, somewhat agree or somewhat disagree or strongly disagree with the following statement: I am worried about other family members interfering with how I use my own money.</t>
  </si>
  <si>
    <t>1=Strongly agree
2=Somewhat agree
3=Somewhat disagree
4=Strongly disagree
99=DK</t>
  </si>
  <si>
    <t>GQ3A</t>
  </si>
  <si>
    <t>GQ3A.Is the concern with a male member, female member, or both?</t>
  </si>
  <si>
    <t>IF GQ3=1</t>
  </si>
  <si>
    <t>GQ4</t>
  </si>
  <si>
    <t>1=Very responsibly
2=Somewhat responsibly
3=Somewhat irresponsibly
4=Very irresponsibly
99=DK</t>
  </si>
  <si>
    <t>GQ5.1</t>
  </si>
  <si>
    <t>1=Yes, are private
2=No, are not private
99=DK
4=Refused to answer</t>
  </si>
  <si>
    <t>IF DG2=2 AND MM1=1</t>
  </si>
  <si>
    <t>GQ5.2</t>
  </si>
  <si>
    <t>GQ5.3</t>
  </si>
  <si>
    <t>GQ5.4</t>
  </si>
  <si>
    <t>GQ6.1</t>
  </si>
  <si>
    <t>1=Yes, I am making the decisions
2=No, I am not making the decisions
99=DK
4=Refused to answer</t>
  </si>
  <si>
    <t>GQ6.2</t>
  </si>
  <si>
    <t>GQ6.3</t>
  </si>
  <si>
    <t>GQ6.4</t>
  </si>
  <si>
    <t>GQ7.1</t>
  </si>
  <si>
    <t>GQ7.2</t>
  </si>
  <si>
    <t>GQ7.3</t>
  </si>
  <si>
    <t>GQ8.1</t>
  </si>
  <si>
    <t>GQ8.2</t>
  </si>
  <si>
    <t>GQ8.3</t>
  </si>
  <si>
    <t>GQ9</t>
  </si>
  <si>
    <t>1=Yes, very concerned
2=Yes, somewhat concerned
3=No, not that concerned
4=No, not concerned at all</t>
  </si>
  <si>
    <t>GQ10</t>
  </si>
  <si>
    <t>1=Cash is better
2=A mobile money service is better
3=Both are equal
99=DK</t>
  </si>
  <si>
    <t>GQ11</t>
  </si>
  <si>
    <t>GQ12</t>
  </si>
  <si>
    <t>GQ13.1</t>
  </si>
  <si>
    <t>IF DG2=2 AND (FF1=1 OR FF4=1)</t>
  </si>
  <si>
    <t>GQ13.2</t>
  </si>
  <si>
    <t>GQ13.3</t>
  </si>
  <si>
    <t>GQ13.4</t>
  </si>
  <si>
    <t>GQ14.1</t>
  </si>
  <si>
    <t>GQ14.2</t>
  </si>
  <si>
    <t>GQ14.3</t>
  </si>
  <si>
    <t>GQ14.4</t>
  </si>
  <si>
    <t>GQ15.1</t>
  </si>
  <si>
    <t>GQ15.2</t>
  </si>
  <si>
    <t>GQ15.3</t>
  </si>
  <si>
    <t>GQ16.1</t>
  </si>
  <si>
    <t xml:space="preserve">1=Yes, I am making the decisions
2=No, I am not making the decisions
99=DK
4=Refused to answer </t>
  </si>
  <si>
    <t>GQ16.2</t>
  </si>
  <si>
    <t>GQ16.3</t>
  </si>
  <si>
    <t>GQ17</t>
  </si>
  <si>
    <t>GQ18</t>
  </si>
  <si>
    <t>1=Cash is better
2=A bank account is better
3=Both are equal
99=DK</t>
  </si>
  <si>
    <t>GQ19</t>
  </si>
  <si>
    <t>GQ20</t>
  </si>
  <si>
    <t>RI4</t>
  </si>
  <si>
    <t>RI5.1</t>
  </si>
  <si>
    <t>RI5.2</t>
  </si>
  <si>
    <t>RI5.3</t>
  </si>
  <si>
    <t>RI6.1</t>
  </si>
  <si>
    <t>1=I make all, or almost all, the calls and messages from this phone number
2=I make more than half of the calls and messages from this phone number
3=I make less than half of the calls and messages from this phone number
4=Other people make almost all the calls or messages from this phone number</t>
  </si>
  <si>
    <t>IF RI5_1 NE 99 AND RI5_1&gt;0</t>
  </si>
  <si>
    <t>RI6.2</t>
  </si>
  <si>
    <t>IF RI5_2 NE 99 AND RI5_2&gt;0</t>
  </si>
  <si>
    <t>RI6.3</t>
  </si>
  <si>
    <t>IF RI5_3 NE 99 AND RI5_3&gt;0</t>
  </si>
  <si>
    <t>RI7.1</t>
  </si>
  <si>
    <t>1=All, or almost all, the calls and messages to this phone number are for me
2=More than half of the calls and messages to this phone number are for me
3=Less than half of the calls and messages to this phone number are for me
4=Calls and messages to this phone number are almost always for other people</t>
  </si>
  <si>
    <t>RI7.2</t>
  </si>
  <si>
    <t>RI7.3</t>
  </si>
  <si>
    <t>RI8.1</t>
  </si>
  <si>
    <t>IF (RI6_1&gt;=2 and RI6_1&lt;=4) OR ( RI6_2&gt;=2 and RI6_2&lt;=4) OR (RI6_3&gt;=2 and RI6_3&lt;=4) OR
 (RI7_1&gt;=2 and RI7_1&lt;=4) OR ( RI7_2&gt;=2 and RI7_2&lt;=4) OR (RI7_3&gt;=2 and RI7_3&lt;=4)</t>
  </si>
  <si>
    <t>RI8.2</t>
  </si>
  <si>
    <t>RI8.3</t>
  </si>
  <si>
    <t>RI8.4</t>
  </si>
  <si>
    <t>RI8.5</t>
  </si>
  <si>
    <t>RI8.6</t>
  </si>
  <si>
    <t>RI8.7</t>
  </si>
  <si>
    <t>RI8.8</t>
  </si>
  <si>
    <t>RI8.96</t>
  </si>
  <si>
    <t>RI8.10</t>
  </si>
  <si>
    <t>QC1</t>
  </si>
  <si>
    <r>
      <t>QC1. QUESTIONNAIRE ID:</t>
    </r>
    <r>
      <rPr>
        <b/>
        <sz val="10"/>
        <rFont val="Arial"/>
        <family val="2"/>
      </rPr>
      <t/>
    </r>
  </si>
  <si>
    <t>QC2.1</t>
  </si>
  <si>
    <t xml:space="preserve">N/A
</t>
  </si>
  <si>
    <t>QC2.2</t>
  </si>
  <si>
    <t>QC2.3</t>
  </si>
  <si>
    <t>QC2.4</t>
  </si>
  <si>
    <t>QC3.1</t>
  </si>
  <si>
    <t>QC3.2</t>
  </si>
  <si>
    <t>QC3.3</t>
  </si>
  <si>
    <t>QC3.4</t>
  </si>
  <si>
    <t>DG5</t>
  </si>
  <si>
    <t>DG13</t>
  </si>
  <si>
    <t>G2P1</t>
  </si>
  <si>
    <t>DL25</t>
  </si>
  <si>
    <t>MT4</t>
  </si>
  <si>
    <t>MT16</t>
  </si>
  <si>
    <t>MT17</t>
  </si>
  <si>
    <t>MT18</t>
  </si>
  <si>
    <t>MT18A</t>
  </si>
  <si>
    <t>FF6</t>
  </si>
  <si>
    <t>FF7&amp;8</t>
  </si>
  <si>
    <t>FF10</t>
  </si>
  <si>
    <t>FF19</t>
  </si>
  <si>
    <t>MM10A</t>
  </si>
  <si>
    <t>MM11</t>
  </si>
  <si>
    <t>MM24</t>
  </si>
  <si>
    <t>MM28</t>
  </si>
  <si>
    <t>MM31&amp;32</t>
  </si>
  <si>
    <t>MM37</t>
  </si>
  <si>
    <t>MM38</t>
  </si>
  <si>
    <t>MM42</t>
  </si>
  <si>
    <t>MMP</t>
  </si>
  <si>
    <t>IFI1&amp;2&amp;3&amp;4</t>
  </si>
  <si>
    <t>IFI5</t>
  </si>
  <si>
    <t>IFI6&amp;7&amp;8&amp;9</t>
  </si>
  <si>
    <t>IFI10&amp;11&amp;12&amp;13</t>
  </si>
  <si>
    <t>IFI14&amp;15&amp;16&amp;17</t>
  </si>
  <si>
    <t>IFI20</t>
  </si>
  <si>
    <t>IFI22</t>
  </si>
  <si>
    <t>FL7</t>
  </si>
  <si>
    <t>FL8</t>
  </si>
  <si>
    <t>FB4</t>
  </si>
  <si>
    <t>FB16&amp;16a&amp;17</t>
  </si>
  <si>
    <t>FB19A&amp;19B</t>
  </si>
  <si>
    <t>FB22&amp;23</t>
  </si>
  <si>
    <t>FB26</t>
  </si>
  <si>
    <t>FB27&amp;28</t>
  </si>
  <si>
    <t>FB29</t>
  </si>
  <si>
    <t>LN2</t>
  </si>
  <si>
    <t>National ID</t>
  </si>
  <si>
    <t>Lack of funds, could not pay at all</t>
  </si>
  <si>
    <t xml:space="preserve">Government Employment Schemes (e.g. Food for Work, Test Relief, Rural Employment for Public Assets, Employment Guarantee Program for the Poorest) </t>
  </si>
  <si>
    <t>Gone without enough food to eat</t>
  </si>
  <si>
    <t>My phone has multiple SIM slots</t>
  </si>
  <si>
    <t>A member of this household</t>
  </si>
  <si>
    <t>Made calls</t>
  </si>
  <si>
    <t>I do not ask anyone, do not need help</t>
  </si>
  <si>
    <t>Make calls/receive calls</t>
  </si>
  <si>
    <t>You can access your account and make transactions using either a mobile phone application or the bank’s website</t>
  </si>
  <si>
    <t>Current/for everyday needs WITH a cheque book</t>
  </si>
  <si>
    <t xml:space="preserve">Over the counter in a branch of the bank </t>
  </si>
  <si>
    <t>Unexpected charges</t>
  </si>
  <si>
    <t>Service system downtime</t>
  </si>
  <si>
    <t>Over the counter or by using an agent’s account</t>
  </si>
  <si>
    <t>Agent</t>
  </si>
  <si>
    <t>Your own phone and your own SIM</t>
  </si>
  <si>
    <t>Open a mobile money menu</t>
  </si>
  <si>
    <t>Your home</t>
  </si>
  <si>
    <t>Agent was absent</t>
  </si>
  <si>
    <t xml:space="preserve">Mobile money allows you to keep money on your phone  </t>
  </si>
  <si>
    <t>Brizzi</t>
  </si>
  <si>
    <t>Bank Perkreditan Rakyat (BPR)</t>
  </si>
  <si>
    <t>BPR</t>
  </si>
  <si>
    <t>You can access your account and make transactions using either a mobile phone application or internet/bank’s website</t>
  </si>
  <si>
    <t>Deposit money</t>
  </si>
  <si>
    <t>Bank branch</t>
  </si>
  <si>
    <t>Welfare/clan group – we help each other out for things like funerals</t>
  </si>
  <si>
    <t>Lost money through theft or fraud by someone outside the group</t>
  </si>
  <si>
    <t>Loss of a house due to fire, flood or another natural disaster</t>
  </si>
  <si>
    <t>I am highly satisfied with my present financial condition</t>
  </si>
  <si>
    <t>I did not have the required documents</t>
  </si>
  <si>
    <t>Bank, personal or business loans</t>
  </si>
  <si>
    <t>A loan that came with a new financial account</t>
  </si>
  <si>
    <t>Bank</t>
  </si>
  <si>
    <t>Start/expand your own business</t>
  </si>
  <si>
    <t>Medical</t>
  </si>
  <si>
    <t>Your own business</t>
  </si>
  <si>
    <t>Reading in English</t>
  </si>
  <si>
    <t>Family Card</t>
  </si>
  <si>
    <t>Lack of funds, could only pay a portion</t>
  </si>
  <si>
    <t>Unconditional Food Distribution (e.g. Vulnerable Group Feeding, Gratuitous Relief)</t>
  </si>
  <si>
    <t>Gone without fuel to cook food</t>
  </si>
  <si>
    <t>My phone has a QWERTY keypad (letters of the keyboard do not share a key)</t>
  </si>
  <si>
    <t>A mobile money agent</t>
  </si>
  <si>
    <t>Received calls</t>
  </si>
  <si>
    <t>Male relative</t>
  </si>
  <si>
    <t>Navigate the menu on the phone</t>
  </si>
  <si>
    <t>The bank offers a debit/ATM card with this account</t>
  </si>
  <si>
    <t>Current/for everyday needs WITHOUT a cheque book</t>
  </si>
  <si>
    <t>ATM</t>
  </si>
  <si>
    <t>Lost money</t>
  </si>
  <si>
    <t>Agent system downtime</t>
  </si>
  <si>
    <t>Account of a family member in this household</t>
  </si>
  <si>
    <t>Pricing sheet</t>
  </si>
  <si>
    <t>Your own phone but someone else’s SIM</t>
  </si>
  <si>
    <t>Find a particular menu option (for example, an option for a money transfer)</t>
  </si>
  <si>
    <t>Your work</t>
  </si>
  <si>
    <t>Agent was rude</t>
  </si>
  <si>
    <t>Mobile money allows you to get a loan</t>
  </si>
  <si>
    <t>Doku</t>
  </si>
  <si>
    <t>Cooperative (BMT, Credit Union, KSP) / Ventura</t>
  </si>
  <si>
    <t>The institution offers a debit/ATM card with this account</t>
  </si>
  <si>
    <t>Withdraw money</t>
  </si>
  <si>
    <t xml:space="preserve">We receive loan/credit </t>
  </si>
  <si>
    <t>Lost money through theft or fraud by a committee member</t>
  </si>
  <si>
    <t>Major medical emergency, including illness, injury and childbirth</t>
  </si>
  <si>
    <t>I have too much debt right now</t>
  </si>
  <si>
    <t>Already owed money on a loan</t>
  </si>
  <si>
    <t>Mobile money account (e.g., T-Cash, Rekening Ponsel, dll)</t>
  </si>
  <si>
    <t>A loan accessed through an existing financial account</t>
  </si>
  <si>
    <t>Mobile money account or mobile money product (e.g., T-Cash, E-Cash, etc.)</t>
  </si>
  <si>
    <t>Education for yourself</t>
  </si>
  <si>
    <t>Life</t>
  </si>
  <si>
    <t>Other people’s businesses (e.g., neighbors, friends, relatives)</t>
  </si>
  <si>
    <t xml:space="preserve">Writing in English </t>
  </si>
  <si>
    <t>Passport</t>
  </si>
  <si>
    <t>Bank issues (high fees or long lines)</t>
  </si>
  <si>
    <t>Zakat</t>
  </si>
  <si>
    <t>Needed a doctor but delayed or went without because of shortage of funds</t>
  </si>
  <si>
    <t>I can access the internet on my phone</t>
  </si>
  <si>
    <t>A friend or family member outside the household</t>
  </si>
  <si>
    <t>Female relative</t>
  </si>
  <si>
    <t>Send/receive text messages</t>
  </si>
  <si>
    <t>The bank offers a credit card with this account</t>
  </si>
  <si>
    <t>Current account with overdraft facility</t>
  </si>
  <si>
    <t>Bank deposit or withdrawals over the counter at a retail store</t>
  </si>
  <si>
    <t>Registered a complaint or called a customer care line</t>
  </si>
  <si>
    <t>Difficulty operating the phone/using menu</t>
  </si>
  <si>
    <t>Account of a family member in another household, other relative, friend or a neighbor</t>
  </si>
  <si>
    <t>Family member</t>
  </si>
  <si>
    <t>Your own SIM but borrow a phone from agent</t>
  </si>
  <si>
    <t>Initiate a transaction</t>
  </si>
  <si>
    <t>Where you shop for food</t>
  </si>
  <si>
    <t>Agent did not have enough cash or e-float and could not perform the transaction</t>
  </si>
  <si>
    <t>You can deposit and withdraw in cash using mobile money</t>
  </si>
  <si>
    <t>E-Money/ E-Toll/ Indomaret Card</t>
  </si>
  <si>
    <t>Pawnshop</t>
  </si>
  <si>
    <t>The institution offers a credit card with this account</t>
  </si>
  <si>
    <t>Buy airtime top-ups, pay mobile phone bill</t>
  </si>
  <si>
    <t>A Mobile money agent</t>
  </si>
  <si>
    <t>We collect money and give to each member a lump sum (pot) or gift in turn</t>
  </si>
  <si>
    <t>Lost money through bad investment of funds</t>
  </si>
  <si>
    <t>Bankruptcy/loss of a job or a business</t>
  </si>
  <si>
    <t>Friends and family rely heavily on me to help with their finances</t>
  </si>
  <si>
    <t>Did not qualify for a credit</t>
  </si>
  <si>
    <t>A mobile money account that came with a smartphone</t>
  </si>
  <si>
    <t>Savings account at KOPERASI (organization which requires you to be a member e.g. agricultural co-op or workplace co-op)</t>
  </si>
  <si>
    <t>Get ready for retirement</t>
  </si>
  <si>
    <t>Car, vehicle</t>
  </si>
  <si>
    <t>Assets, such as real estate, land, precious metals, gemstones, art, etc.</t>
  </si>
  <si>
    <t>Reading in Indonesian</t>
  </si>
  <si>
    <t>Driver’s license</t>
  </si>
  <si>
    <t>Had to deliver cash but failed because of long distance to school</t>
  </si>
  <si>
    <t>Employee Old Age Benefit Program</t>
  </si>
  <si>
    <t>Needed a veterinarian or vet medicine but went without because of a shortage of funds(pet or livestock)</t>
  </si>
  <si>
    <t>I can send and receive email on my phone</t>
  </si>
  <si>
    <t>A neighbor</t>
  </si>
  <si>
    <t>Sent/received photo messages (MMS)</t>
  </si>
  <si>
    <t>Male friend</t>
  </si>
  <si>
    <t>Use/browse the internet</t>
  </si>
  <si>
    <t>You can transfer money to/from this account without using cash (e.g. receive salary or government benefits, direct deposit, automatic payments or withdrawals, transfers to/from other banks/mobile money account/MFI or cooperative account)</t>
  </si>
  <si>
    <t>Savings</t>
  </si>
  <si>
    <t>Bank’s website/online banking</t>
  </si>
  <si>
    <t>ATM not working</t>
  </si>
  <si>
    <t>Unclear transaction charges/fees</t>
  </si>
  <si>
    <t>Account of a workmate or a business partner</t>
  </si>
  <si>
    <t>Friend</t>
  </si>
  <si>
    <t>Your own SIM but borrow a phone from friends or family</t>
  </si>
  <si>
    <t>Complete a transaction</t>
  </si>
  <si>
    <t>Near your children’s school/childcare facility</t>
  </si>
  <si>
    <t>Agent refused to perform transaction for no reason</t>
  </si>
  <si>
    <t>You can send money to someone using mobile money</t>
  </si>
  <si>
    <t>Flazz</t>
  </si>
  <si>
    <t>Post office bank</t>
  </si>
  <si>
    <t>Post Office Bank</t>
  </si>
  <si>
    <t>You can transfer money to/from this account without using cash (make a direct deposit, automatic payments or withdrawals, transfers to/from other banks/mobile money account/MFI or cooperative account, through placing a standard order)</t>
  </si>
  <si>
    <t>Pay a school fee</t>
  </si>
  <si>
    <t>A Banking agent</t>
  </si>
  <si>
    <t>We save and lend money to members and/or non-members to be repaid with interest</t>
  </si>
  <si>
    <t>Loss of membership through death or membership cancellation</t>
  </si>
  <si>
    <t>Loss of harvest or livestock due to weather conditions or a disease</t>
  </si>
  <si>
    <t>I am comfortable having some debt if it allows me to accomplish my goals</t>
  </si>
  <si>
    <t>Did not know where to go to get a credit</t>
  </si>
  <si>
    <t>Cooperative</t>
  </si>
  <si>
    <t>A credit plan for school fees</t>
  </si>
  <si>
    <t>Savings with an informal group that lends to its members or to other people with interest</t>
  </si>
  <si>
    <t>Buy expensive and prestigious things such as an expensive car, jewelry, designer clothes, high-end electronics.</t>
  </si>
  <si>
    <t>Agriculture</t>
  </si>
  <si>
    <t>Buy shares of foreign enterprises (e.g., Coca Cola, Toyota, etc.)</t>
  </si>
  <si>
    <t>Writing in Indonesian</t>
  </si>
  <si>
    <t>School-issued ID</t>
  </si>
  <si>
    <t>Don’t know the full amount</t>
  </si>
  <si>
    <t>Workers Welfare Fund</t>
  </si>
  <si>
    <t>Needed fertilizer for the farm but went without because of a shortage of funds</t>
  </si>
  <si>
    <t>My phone has a touch screen</t>
  </si>
  <si>
    <t>Other (Specify)</t>
  </si>
  <si>
    <t>Used/browsed the internet</t>
  </si>
  <si>
    <t>Female friend</t>
  </si>
  <si>
    <t>Student</t>
  </si>
  <si>
    <t>Mobile app/mobile banking</t>
  </si>
  <si>
    <t>Debit/credit card did not work when paying for goods/services</t>
  </si>
  <si>
    <t>Agent float/cash availability</t>
  </si>
  <si>
    <t>My own account</t>
  </si>
  <si>
    <t>Internet/ website</t>
  </si>
  <si>
    <t>Borrow both SIM and phone from an agent</t>
  </si>
  <si>
    <t>Go back to the main menu after a transaction</t>
  </si>
  <si>
    <t>Near a public transportation hub, for example, a bus stop or station</t>
  </si>
  <si>
    <t>Agent did not know how to perform the transaction</t>
  </si>
  <si>
    <t>You can store/save money on a mobile phone</t>
  </si>
  <si>
    <t>Jak Card</t>
  </si>
  <si>
    <t>Multifinance (e.g. Adira, FIF, BAF, AAC, etc.)</t>
  </si>
  <si>
    <t>Pay a medical bill</t>
  </si>
  <si>
    <t>A retail store/kiosk with over-the-counter MM services</t>
  </si>
  <si>
    <t>We periodically distribute all monies held by the group to its members</t>
  </si>
  <si>
    <t>Poor leadership/ disagreement within the group</t>
  </si>
  <si>
    <t>Loss of property due to theft or burglary</t>
  </si>
  <si>
    <t>I have the skills and knowledge to manage my finances well</t>
  </si>
  <si>
    <t>A goal savings plan or contractual savings plan for school fees</t>
  </si>
  <si>
    <t>Savings through buying something (agricultural inputs, livestock, other property)</t>
  </si>
  <si>
    <t>Protect your family from poverty and crime</t>
  </si>
  <si>
    <t>House/property/asset</t>
  </si>
  <si>
    <t xml:space="preserve">Buy shares of local enterprises </t>
  </si>
  <si>
    <t>Reading in local language 1 (specify)</t>
  </si>
  <si>
    <t>KPS card</t>
  </si>
  <si>
    <t>Other(Specify)</t>
  </si>
  <si>
    <t>Pension, old age</t>
  </si>
  <si>
    <t>Needed stock for my business but couldn’t buy stock because of a shortage of funds; had to close down temporarily or completely</t>
  </si>
  <si>
    <t>I can download and install applications on my phone</t>
  </si>
  <si>
    <t>DK</t>
  </si>
  <si>
    <t>Downloaded music, video or games</t>
  </si>
  <si>
    <t>Mobile money agent</t>
  </si>
  <si>
    <t xml:space="preserve">Fixed </t>
  </si>
  <si>
    <t>Could not use my bank account because of system outages (online)</t>
  </si>
  <si>
    <t>Contacting customer care</t>
  </si>
  <si>
    <t>Phone</t>
  </si>
  <si>
    <t>Borrow both SIM and phone from friends or family</t>
  </si>
  <si>
    <t>Correct an error in the amount or phone number for a transaction recipient</t>
  </si>
  <si>
    <t>Near a shop where you go to charge your mobile phone</t>
  </si>
  <si>
    <t>Agent overcharged for the transaction or asked you to pay a deposit</t>
  </si>
  <si>
    <t>You can pay for goods and services through your mobile phone</t>
  </si>
  <si>
    <t>Mega Cash</t>
  </si>
  <si>
    <t>Arisan or another informal saving network</t>
  </si>
  <si>
    <t xml:space="preserve">Pay an utility bill (i.e electricity, water, solar, TV/cable) </t>
  </si>
  <si>
    <t>We save together and put the money in an account</t>
  </si>
  <si>
    <t>Money/cash not available immediately</t>
  </si>
  <si>
    <t>Death in the family, including death of the main income earner</t>
  </si>
  <si>
    <t xml:space="preserve">When I have some money it’s better to use or invest it right away. Just keeping it sitting there is wasteful  </t>
  </si>
  <si>
    <t>Digital/recharge card</t>
  </si>
  <si>
    <t>In case of emergency</t>
  </si>
  <si>
    <t>Educational policy</t>
  </si>
  <si>
    <t>Buy government bonds</t>
  </si>
  <si>
    <t>Writing in local language 1 (specify)</t>
  </si>
  <si>
    <t>BLT card</t>
  </si>
  <si>
    <t>Pension, disability</t>
  </si>
  <si>
    <t>Had a child sent home from school because of unpaid school fees</t>
  </si>
  <si>
    <t>Made a financial transaction such as send/receive money, pay debt, or banking transaction</t>
  </si>
  <si>
    <t>Recharge shop, retail outlet</t>
  </si>
  <si>
    <t>Investment</t>
  </si>
  <si>
    <t>Could not use my bank account because of system outages (offline)</t>
  </si>
  <si>
    <t>Sending to a wrong number</t>
  </si>
  <si>
    <t>Provider’s in-person customer care center</t>
  </si>
  <si>
    <t>Reverse or cancel a transaction</t>
  </si>
  <si>
    <t>Near/at the shop where you buy airtime</t>
  </si>
  <si>
    <t>Agent did not give all the cash that was owed</t>
  </si>
  <si>
    <t>Mint</t>
  </si>
  <si>
    <t>A money guard/ someone in workplace or neighborhood that collects and keeps savings deposits on a regular basis</t>
  </si>
  <si>
    <t>Pay rent</t>
  </si>
  <si>
    <t xml:space="preserve">Cooperative/Ventura </t>
  </si>
  <si>
    <t>We make other kinds of investments as a group e.g. property, business</t>
  </si>
  <si>
    <t>I buy from several different shopkeepers so that they know me and will give me credit when I need it</t>
  </si>
  <si>
    <t>Loan from a government institution e.g. </t>
  </si>
  <si>
    <t>Other people, e.g., family, friends, neighbors, shopkeepers, money guards, etc.</t>
  </si>
  <si>
    <t>Just make ends meet on a daily basis</t>
  </si>
  <si>
    <t>Retirement/pension/old age</t>
  </si>
  <si>
    <t>Reading in local language 2 (specify)</t>
  </si>
  <si>
    <t>PKH card</t>
  </si>
  <si>
    <t>Pension, widow</t>
  </si>
  <si>
    <t>Had to miss an important family event (funeral, wedding, etc.) because couldn’t pay for transportation</t>
  </si>
  <si>
    <t>Used “Call Tunes” or other audio/video on-demand from operator services</t>
  </si>
  <si>
    <t>A scam asking for your bank details or information</t>
  </si>
  <si>
    <t>Family/friends stealing money</t>
  </si>
  <si>
    <t>Look in the mobile money app</t>
  </si>
  <si>
    <t>Send money</t>
  </si>
  <si>
    <t>Agent system or mobile network was down</t>
  </si>
  <si>
    <t>Nobu e-money</t>
  </si>
  <si>
    <r>
      <t>Money lender (pengepul, supplier/ pemasok, etc.)</t>
    </r>
    <r>
      <rPr>
        <sz val="8"/>
        <color indexed="8"/>
        <rFont val="Calibri"/>
        <family val="2"/>
      </rPr>
      <t xml:space="preserve">   </t>
    </r>
  </si>
  <si>
    <t>Pay a government bill, including tax, fine or fee</t>
  </si>
  <si>
    <t>Semi-formal/informal financial or savings  group (Arisan, kelompok tani/ternak, dll)</t>
  </si>
  <si>
    <t>We invest in the stock market as a group</t>
  </si>
  <si>
    <t>Loan from an employer</t>
  </si>
  <si>
    <t>In a safe place at home or on yourself in cash </t>
  </si>
  <si>
    <t>Give back to your community by giving out money, creating a charitable organization (including orphanage, senior home, free school, etc.), or creating jobs </t>
  </si>
  <si>
    <t>National Social Security Fund</t>
  </si>
  <si>
    <t>Writing in local language 2 (specify)</t>
  </si>
  <si>
    <t>Health insurance Card BPJS</t>
  </si>
  <si>
    <t xml:space="preserve">Pension, unemployment </t>
  </si>
  <si>
    <t>Used Facebook, WhatsApp, Twitter, Instagram or another social networking site</t>
  </si>
  <si>
    <t>Paid an extra fee at a bank branch, such as fee paid to a security guard</t>
  </si>
  <si>
    <t>Other (specify)</t>
  </si>
  <si>
    <t>Receive money</t>
  </si>
  <si>
    <t>It was very time-consuming/it took me a lot of time to do the transaction</t>
  </si>
  <si>
    <t>TapCash</t>
  </si>
  <si>
    <t>A digital card, a recharge card that is not attached to a bank or MFI account</t>
  </si>
  <si>
    <t>Send money to family members, friends, workmates or other acquaintances for regular support/allowances, to help with emergencies, or for other reasons</t>
  </si>
  <si>
    <t>we formed a group to borrow money from bank or MFI  for business purpose</t>
  </si>
  <si>
    <t>Loan from a group that lends to group members and to other with interest</t>
  </si>
  <si>
    <t>In-kind assets, such as gold</t>
  </si>
  <si>
    <t>Build children’s fund for education</t>
  </si>
  <si>
    <t>Reading in local language 3 (specify)</t>
  </si>
  <si>
    <t>Jamsostek card</t>
  </si>
  <si>
    <t xml:space="preserve">Scholarship programs for students </t>
  </si>
  <si>
    <t>Took a color picture</t>
  </si>
  <si>
    <t>You did not get a receipt</t>
  </si>
  <si>
    <t>True Money</t>
  </si>
  <si>
    <t>Other financial service (Specify)</t>
  </si>
  <si>
    <t>Receive money from family members, friends, workmates or other acquaintances for regular support/allowances, to help with emergencies, or for other reasons</t>
  </si>
  <si>
    <t>Loan from family/friends/neighbour</t>
  </si>
  <si>
    <t>Build children’s fund for wedding (the ceremony and/or dowry)</t>
  </si>
  <si>
    <t>Writing in local language 3 (specify)</t>
  </si>
  <si>
    <t>Tax Card</t>
  </si>
  <si>
    <t>Skill development, coaching, vocational training stipends </t>
  </si>
  <si>
    <t>Downloaded/used any other mobile application</t>
  </si>
  <si>
    <t xml:space="preserve">Agent charged you for depositing money </t>
  </si>
  <si>
    <t xml:space="preserve">Receive welfare, pension or other benefit payment from the government </t>
  </si>
  <si>
    <t>Loan from an informal moneylender</t>
  </si>
  <si>
    <t>Buy or build a house</t>
  </si>
  <si>
    <t xml:space="preserve">Employee ID (For Government / Civil Servants) </t>
  </si>
  <si>
    <t xml:space="preserve">Other (Specify) </t>
  </si>
  <si>
    <t>Used touch screen</t>
  </si>
  <si>
    <t>Buy airtime</t>
  </si>
  <si>
    <t>Agent asked for my PIN number</t>
  </si>
  <si>
    <t>Receive wages for primary or secondary job</t>
  </si>
  <si>
    <t>Local shop/supplier that allows you to take goods/services on credit</t>
  </si>
  <si>
    <t>Voter’s card/Voter ID</t>
  </si>
  <si>
    <t>DK/Refused</t>
  </si>
  <si>
    <t>Navigation, maps</t>
  </si>
  <si>
    <t>Check balance</t>
  </si>
  <si>
    <t>Agent was dismissive of women</t>
  </si>
  <si>
    <t>Pay for large acquisitions, including land, cattle, residence</t>
  </si>
  <si>
    <t>Loan/credits from buyer (of your 21harvest, e.g. tobacco, vegetables)</t>
  </si>
  <si>
    <t>Military ID</t>
  </si>
  <si>
    <t>Agent committed fraud</t>
  </si>
  <si>
    <t>Make insurance-related payments or receive claims on insurance</t>
  </si>
  <si>
    <t>Layaway purchase/loan</t>
  </si>
  <si>
    <t>Birth Certificate</t>
  </si>
  <si>
    <t>Agent’s place was not secure/there were suspicious people at agent’s place</t>
  </si>
  <si>
    <t>Take a loan or make payments on a loan, give a loan or receive payments on a loan</t>
  </si>
  <si>
    <t>Unofficial pawnshop</t>
  </si>
  <si>
    <t>Health card</t>
  </si>
  <si>
    <t>Agent shared your personal/account information with other people without my knowledge/permission</t>
  </si>
  <si>
    <t>Save money for a future purchase or payment</t>
  </si>
  <si>
    <t>Smart card</t>
  </si>
  <si>
    <t>Agent refused to do the transaction because you did not have my ID</t>
  </si>
  <si>
    <t>Set aside money for pension, paid pension contributions</t>
  </si>
  <si>
    <t>Set money aside just in case/for an undetermined purpose</t>
  </si>
  <si>
    <t>None</t>
  </si>
  <si>
    <t>Make an investment, including buy stock or shares</t>
  </si>
  <si>
    <t>Pay for goods or services at a grocery store, clothing shop or any other store/shop</t>
  </si>
  <si>
    <t>Pay money to or receive money from your Savings and/or lending group</t>
  </si>
  <si>
    <t>Account maintenance: Check your account balance, change PIN, receive mini-statement, etc.</t>
  </si>
  <si>
    <t>Code</t>
  </si>
  <si>
    <t>Description</t>
  </si>
  <si>
    <t>Mobile money provider</t>
  </si>
  <si>
    <t>Ventura Cooperative</t>
  </si>
  <si>
    <t>Informal savings group</t>
  </si>
  <si>
    <t>SIM Card</t>
  </si>
  <si>
    <t>MM service</t>
  </si>
  <si>
    <t>Telkomsel (Simpati, Halo, Kartu As)</t>
  </si>
  <si>
    <t>BBM Money</t>
  </si>
  <si>
    <t>Indosat (IM3, Mentari, Matrix)</t>
  </si>
  <si>
    <t>Dompetku</t>
  </si>
  <si>
    <t>XL</t>
  </si>
  <si>
    <t>E-Cash</t>
  </si>
  <si>
    <t>MoCash</t>
  </si>
  <si>
    <t>AXIS</t>
  </si>
  <si>
    <t>Rekening Ponsel</t>
  </si>
  <si>
    <t>Esia</t>
  </si>
  <si>
    <t>Skye</t>
  </si>
  <si>
    <t>SmartFren</t>
  </si>
  <si>
    <t>T-Cash</t>
  </si>
  <si>
    <t>XL Tunai</t>
  </si>
  <si>
    <t>Sakuku</t>
  </si>
  <si>
    <t>Saving money</t>
  </si>
  <si>
    <t>Investing in your existing business</t>
  </si>
  <si>
    <t>Repaying any existing debts</t>
  </si>
  <si>
    <t>Sending money to other people, including sending regular support money, emergency support, gifts, etc.</t>
  </si>
  <si>
    <t>Spend on farm – leasing more land, buying fertilizer or pesticides, buying seeds</t>
  </si>
  <si>
    <t>Buying the family some clothes/something nice for the home</t>
  </si>
  <si>
    <t>Buying better food</t>
  </si>
  <si>
    <t>Buying more of your usual foods</t>
  </si>
  <si>
    <t>Invest in assets like shares, real estate, jewelry</t>
  </si>
  <si>
    <t>Entertainment (e.g., movies, restaurants, sport shows, theater, restaurants, clubbing, partying)</t>
  </si>
  <si>
    <t xml:space="preserve">I don’t want to spend on anything else </t>
  </si>
  <si>
    <t xml:space="preserve">You have an account in a bank or mobile money account/ other formal institution </t>
  </si>
  <si>
    <t>You don’t have any money left for savings</t>
  </si>
  <si>
    <t xml:space="preserve">You don’t know about them  </t>
  </si>
  <si>
    <t xml:space="preserve">You don’t need any service from them </t>
  </si>
  <si>
    <t xml:space="preserve">You don’t trust them/people steal your money  </t>
  </si>
  <si>
    <t>Groups require too much time in meetings</t>
  </si>
  <si>
    <t>Had previous bad experience</t>
  </si>
  <si>
    <t>You have just dissolved one and I am still debating if I should join another one</t>
  </si>
  <si>
    <t>You have not found a group that suits your needs</t>
  </si>
  <si>
    <t>Others (Specify)</t>
  </si>
  <si>
    <t>To have a lump sum to use when it is your turn</t>
  </si>
  <si>
    <t>To keep money safe</t>
  </si>
  <si>
    <t>To have access to loans or credit</t>
  </si>
  <si>
    <t xml:space="preserve">To help when there is a death in the family or any other emergency </t>
  </si>
  <si>
    <t>It is compulsory in your clan/village</t>
  </si>
  <si>
    <t>To socialize/meet your friends</t>
  </si>
  <si>
    <t>To exchange ideas about business</t>
  </si>
  <si>
    <t>To invest in bigger things by pooling money/resources together</t>
  </si>
  <si>
    <t>The group buys you household goods or farm goods when it’s your turn</t>
  </si>
  <si>
    <t>To increase income by lending</t>
  </si>
  <si>
    <t>You cannot get money or help anywhere else</t>
  </si>
  <si>
    <t>You can get money easily when you need it</t>
  </si>
  <si>
    <t>You get motivated/get disciplined to save from saving with others</t>
  </si>
  <si>
    <t>You can’t save at home – money gets used on other things</t>
  </si>
  <si>
    <t>It encourages you to work harder</t>
  </si>
  <si>
    <t>No formal education</t>
  </si>
  <si>
    <t>Primary education not completed</t>
  </si>
  <si>
    <t>Primary education completed</t>
  </si>
  <si>
    <t>Some diploma</t>
  </si>
  <si>
    <t>Some college/university</t>
  </si>
  <si>
    <t>We don’t have enough money to pay school fees</t>
  </si>
  <si>
    <t>A child could not pass to the next grade level</t>
  </si>
  <si>
    <t>A child lost interest, does not want to attend</t>
  </si>
  <si>
    <t>A child is sick – physically or mentally disabled</t>
  </si>
  <si>
    <t>A child had to come home to help with household chores, taking care of younger siblings</t>
  </si>
  <si>
    <t>A child needed to help with the household’s farm</t>
  </si>
  <si>
    <t>A child had to go to work and help the household to earn income</t>
  </si>
  <si>
    <t>No particular reason</t>
  </si>
  <si>
    <t>Working full-time for a regular salary</t>
  </si>
  <si>
    <t>Working part-time for a regular salary</t>
  </si>
  <si>
    <t>Working occasionally, irregular pay (whenever the work is available)</t>
  </si>
  <si>
    <t>Working per season (e.g., only during the harvest season)</t>
  </si>
  <si>
    <t>Self-employed, working for yourself</t>
  </si>
  <si>
    <t>Not working but looking for a job</t>
  </si>
  <si>
    <t>Housewife or stay-at-home husband, doing household chores</t>
  </si>
  <si>
    <t>Full-time student</t>
  </si>
  <si>
    <t>Not working because of retirement</t>
  </si>
  <si>
    <t>Not working because of sickness, disability, etc.</t>
  </si>
  <si>
    <t>Farm owner</t>
  </si>
  <si>
    <t>Farm worker</t>
  </si>
  <si>
    <t>Government employee</t>
  </si>
  <si>
    <t>Professional i.e., doctor, teacher, nurse (specify)</t>
  </si>
  <si>
    <t>Clerk</t>
  </si>
  <si>
    <t>Carpenter/mason</t>
  </si>
  <si>
    <t>Mechanic</t>
  </si>
  <si>
    <t>Electrician</t>
  </si>
  <si>
    <t>Cleaner/ house help</t>
  </si>
  <si>
    <t>Waiter/cook</t>
  </si>
  <si>
    <t>Driver, including public transport (angkot, ajek, metromini, bus, etc.)</t>
  </si>
  <si>
    <t>Tailor</t>
  </si>
  <si>
    <t>Secretary</t>
  </si>
  <si>
    <t>Manager</t>
  </si>
  <si>
    <t>Watchman/security/caretaker</t>
  </si>
  <si>
    <t>Messenger</t>
  </si>
  <si>
    <t>Policeman</t>
  </si>
  <si>
    <t>Conductor</t>
  </si>
  <si>
    <t>Factory employee</t>
  </si>
  <si>
    <t>Shop owner</t>
  </si>
  <si>
    <t>Salesperson in a store</t>
  </si>
  <si>
    <t>Street vendor/hawker (selling groceries, warung)</t>
  </si>
  <si>
    <t>Business owner (specify below)</t>
  </si>
  <si>
    <t>Salonist</t>
  </si>
  <si>
    <t>Money lender</t>
  </si>
  <si>
    <t>Landlord/ Landlady</t>
  </si>
  <si>
    <t>Miner(gold,sand,coal,oil,etc.)</t>
  </si>
  <si>
    <t>Military</t>
  </si>
  <si>
    <t>Occasional worker with no occupation</t>
  </si>
  <si>
    <t>Refused/prefer not to say</t>
  </si>
  <si>
    <t>Other (specify in row)</t>
  </si>
  <si>
    <t>Government student scholarship (either directly or through schools)</t>
  </si>
  <si>
    <t xml:space="preserve">Pension that you received from government </t>
  </si>
  <si>
    <t>Other government benefits, including in the form of food and/or grants</t>
  </si>
  <si>
    <t xml:space="preserve">Pension that you received from ex-employer or pension scheme  </t>
  </si>
  <si>
    <t>Money from family/friends/spouse for regular support or emergencies</t>
  </si>
  <si>
    <t>Grew something and sold it</t>
  </si>
  <si>
    <t>Reared livestock/poultry/fish/bees and sold them or sold their by-products</t>
  </si>
  <si>
    <t>Bought/obtained agricultural products from farmers to either process it/change it to another form for sale or for your own use (e.g., rice to flour; milk to cheese; etc.)</t>
  </si>
  <si>
    <t>Sold something to farmers for the purpose of farming (e.g., seeds, fertilizers, equipment)</t>
  </si>
  <si>
    <t>Sold something to processors of farming products for the purpose of processing (packaging, machinery, chemicals)</t>
  </si>
  <si>
    <t>Make/manufacture something that is used for farming purposes or processing of farming products (plow, nets, boat, etc)</t>
  </si>
  <si>
    <t>Provided a service to farmers or processors of farming products (e.g., rented ploughs, tractors,boat, other equipment)</t>
  </si>
  <si>
    <t>Rented land to farmers for farming/husbandry/land fishery purposes</t>
  </si>
  <si>
    <r>
      <t>Fish farming /Fishing – aquaculture, fishermen</t>
    </r>
    <r>
      <rPr>
        <sz val="8"/>
        <color indexed="8"/>
        <rFont val="Calibri"/>
        <family val="2"/>
      </rPr>
      <t xml:space="preserve">   </t>
    </r>
  </si>
  <si>
    <r>
      <t>Employed on other people’s farm</t>
    </r>
    <r>
      <rPr>
        <sz val="8"/>
        <color indexed="8"/>
        <rFont val="Calibri"/>
        <family val="2"/>
      </rPr>
      <t xml:space="preserve"> </t>
    </r>
  </si>
  <si>
    <r>
      <t>Employed to do other people’s domestic chores</t>
    </r>
    <r>
      <rPr>
        <sz val="8"/>
        <color indexed="8"/>
        <rFont val="Calibri"/>
        <family val="2"/>
      </rPr>
      <t xml:space="preserve"> </t>
    </r>
  </si>
  <si>
    <r>
      <t>Employed by the government</t>
    </r>
    <r>
      <rPr>
        <sz val="8"/>
        <color indexed="8"/>
        <rFont val="Calibri"/>
        <family val="2"/>
      </rPr>
      <t xml:space="preserve"> </t>
    </r>
  </si>
  <si>
    <r>
      <t>Employed in private sector – office/business/factory</t>
    </r>
    <r>
      <rPr>
        <sz val="8"/>
        <color indexed="8"/>
        <rFont val="Calibri"/>
        <family val="2"/>
      </rPr>
      <t xml:space="preserve"> </t>
    </r>
  </si>
  <si>
    <r>
      <t>Ran your own business</t>
    </r>
    <r>
      <rPr>
        <sz val="8"/>
        <color indexed="8"/>
        <rFont val="Calibri"/>
        <family val="2"/>
      </rPr>
      <t xml:space="preserve">  </t>
    </r>
  </si>
  <si>
    <t>Rented rooms in house</t>
  </si>
  <si>
    <t>Earning money from investments (e.g., shares, stocks)</t>
  </si>
  <si>
    <t>Aid agency/NGO assistance in form of food or grants</t>
  </si>
  <si>
    <t>description</t>
  </si>
  <si>
    <t>Natural disaster (hurricane, earthquake or flood) destroyed my home</t>
  </si>
  <si>
    <t>I could not afford rent, moved to a cheaper place</t>
  </si>
  <si>
    <t>I started making more money and moved to a better place</t>
  </si>
  <si>
    <t>Relocated for work</t>
  </si>
  <si>
    <t>Relocated to take care of parents/children</t>
  </si>
  <si>
    <t>Got bankrupt and the bank took my house</t>
  </si>
  <si>
    <t>Violence in my community</t>
  </si>
  <si>
    <t>Evicted, land reclaimed by government or owner (for settlement housing)</t>
  </si>
  <si>
    <t>Bought my own house and moved into it</t>
  </si>
  <si>
    <t>No specific reason</t>
  </si>
  <si>
    <t>Flood, fire or other natural disaster destroys house/property/business</t>
  </si>
  <si>
    <t>Theft, burglary or other man-caused loss of house/property/family land/business</t>
  </si>
  <si>
    <t>Bad weather or pests destroy all or part of crops or your livestock dies due to a disease</t>
  </si>
  <si>
    <t>Job loss, reduced income of main wage-earner</t>
  </si>
  <si>
    <t>Death of main income-earner</t>
  </si>
  <si>
    <t>Increase in costs of agricultural inputs, other additional expenses related to your farm/business</t>
  </si>
  <si>
    <t>Decrease in price of crop or livestock other goods you sold</t>
  </si>
  <si>
    <t>Loss of cash, including savings</t>
  </si>
  <si>
    <t>Major medical emergency or large medical expenses, including birth in the family</t>
  </si>
  <si>
    <t>Divorce, family separation</t>
  </si>
  <si>
    <t>Used up your savings</t>
  </si>
  <si>
    <t>Borrowed money from bank / MFI / Mobile money provider or mobile money product</t>
  </si>
  <si>
    <t>Borrowed money from savings and lending group, e.g., arisan</t>
  </si>
  <si>
    <t>Borrowed money from moneylender</t>
  </si>
  <si>
    <t>Got help from religious institutions (church, mosque, temple)</t>
  </si>
  <si>
    <t>Found a better job/additional jobs</t>
  </si>
  <si>
    <t>Sold your assets e.g. car, business, household goods, livestock</t>
  </si>
  <si>
    <t>Cut back on expenses e.g. school fees, food</t>
  </si>
  <si>
    <t>Withdraw female child/children from school</t>
  </si>
  <si>
    <t>Withdraw male child/children from school</t>
  </si>
  <si>
    <t>Ask for help from friends, family, well-wishers</t>
  </si>
  <si>
    <t>Received assistance/aid from the government or a non-government organization</t>
  </si>
  <si>
    <t>There was no need to do anything, it did not affect our finances too much</t>
  </si>
  <si>
    <t>Other(specify)</t>
  </si>
  <si>
    <t>Refused to answer</t>
  </si>
  <si>
    <t>Courier delivery</t>
  </si>
  <si>
    <t xml:space="preserve">Post office transfer </t>
  </si>
  <si>
    <t>Own m-money account</t>
  </si>
  <si>
    <t>Agent’s m-money account</t>
  </si>
  <si>
    <t>Other person’s m-money account</t>
  </si>
  <si>
    <t>Western Union/ Money Gram</t>
  </si>
  <si>
    <t>Door-to-door agents</t>
  </si>
  <si>
    <t>Collected by someone else on your behalf (a friend or a relative)</t>
  </si>
  <si>
    <t>Deposit into Microfinance account</t>
  </si>
  <si>
    <t>No one in our house owns a phone</t>
  </si>
  <si>
    <t>I don’t have anyone to call</t>
  </si>
  <si>
    <t xml:space="preserve">I am not allowed to use a phone by my spouse, parents or other family members </t>
  </si>
  <si>
    <t>Had phone, but it was lost, stolen, or broken</t>
  </si>
  <si>
    <t>Had phone, but sold it for cash</t>
  </si>
  <si>
    <t>Using a phone is against my culture/religion</t>
  </si>
  <si>
    <t>I don’t have money to buy a phone</t>
  </si>
  <si>
    <t>I don’t have money to pay for airtime</t>
  </si>
  <si>
    <t>There is no network where I live/work</t>
  </si>
  <si>
    <t>I don’t have a need to use a phone/don’t want a phone</t>
  </si>
  <si>
    <t>Don’t have ID to register a SIM card</t>
  </si>
  <si>
    <t>No electricity for charging in this area</t>
  </si>
  <si>
    <t>Don’t know how to use one</t>
  </si>
  <si>
    <t>Everyone I know has this provider</t>
  </si>
  <si>
    <t>I wanted to use this provider’s mm service</t>
  </si>
  <si>
    <t>I signed up during a promotional campaign</t>
  </si>
  <si>
    <t>This provider is cheaper than other providers</t>
  </si>
  <si>
    <t>I already had one SIM with this provider, got another one for convenience</t>
  </si>
  <si>
    <t>Coverage is good in my area</t>
  </si>
  <si>
    <t>The only option in my area</t>
  </si>
  <si>
    <t>I needed an account to receive my salary/wages.</t>
  </si>
  <si>
    <t>I needed an account to receive payments from the government (e.g., pension, unemployment payments, or government assistance)</t>
  </si>
  <si>
    <t>I wanted to have access to credit or a credit card through a bank</t>
  </si>
  <si>
    <t>An organization/government agency requested I sign up for an account</t>
  </si>
  <si>
    <t xml:space="preserve">I had to send money to or receive money from another person </t>
  </si>
  <si>
    <t>I needed a bank account to make a purchase</t>
  </si>
  <si>
    <t>Somebody requested I open an account/Another person opened the account for me</t>
  </si>
  <si>
    <t>I had to send money to an organization/government agency(e.g., had to pay a bill)</t>
  </si>
  <si>
    <t>An agent or sales person convinced me</t>
  </si>
  <si>
    <t>I saw posters/billboards/radio/TV advertising that convinced me</t>
  </si>
  <si>
    <t xml:space="preserve">Someone I know has a bank account and they recommended I open one </t>
  </si>
  <si>
    <t>I wanted to start saving money with a bank account</t>
  </si>
  <si>
    <t>I wanted a safe place to store my money</t>
  </si>
  <si>
    <t>I saw a promotion that I wanted to take advantage of</t>
  </si>
  <si>
    <t>Most of my friends/family members are already using them/I saw other people using them and wanted to try it myself</t>
  </si>
  <si>
    <t>An organization/the government opened an account for me</t>
  </si>
  <si>
    <t>I do not know what it is</t>
  </si>
  <si>
    <t>I do not know how to open one</t>
  </si>
  <si>
    <t>I do not have a state-issued/national ID or other required documents</t>
  </si>
  <si>
    <t>There are no banks close to where I live</t>
  </si>
  <si>
    <t>I do not have money/I do not have money to make any transactions</t>
  </si>
  <si>
    <t>I do not need one, I do not make any transactions</t>
  </si>
  <si>
    <t>Registration paperwork is too complicated</t>
  </si>
  <si>
    <t>Registration fee is too high</t>
  </si>
  <si>
    <t>Using a bank account is difficult</t>
  </si>
  <si>
    <t>I do not understand the purpose of such an account, I do not know what I can use it for</t>
  </si>
  <si>
    <t>A nearby bank has agents but they are not accessible</t>
  </si>
  <si>
    <t>Banks are not reliable</t>
  </si>
  <si>
    <t>Banks do not offer the services I need</t>
  </si>
  <si>
    <t>Bank staff/agents are unfriendly; they make me feel unwelcomed</t>
  </si>
  <si>
    <t>Bank hours are not convenient for me/I don’t have time to go to the bank</t>
  </si>
  <si>
    <t>I never thought about using a bank</t>
  </si>
  <si>
    <t>I do not trust banks/that my money is safe in a bank/I would rather have my money close to me</t>
  </si>
  <si>
    <t>I use mobile money</t>
  </si>
  <si>
    <t>I use somebody else’s account</t>
  </si>
  <si>
    <t>My husband, family, in-laws do not approve of me having a bank account.</t>
  </si>
  <si>
    <t>I will not be able to go to a bank on my own</t>
  </si>
  <si>
    <t>It’s not approved by my religion</t>
  </si>
  <si>
    <t>Deposited money</t>
  </si>
  <si>
    <t>Withdrew money</t>
  </si>
  <si>
    <t>Pay an utility bill (i.e electricity, water, solar, TV/cable)</t>
  </si>
  <si>
    <t>Paid rent</t>
  </si>
  <si>
    <t>Receive welfare, pension or other benefit payment from the government</t>
  </si>
  <si>
    <t>Took a loan or make payments on a loan, give a loan or receive payments on a loan</t>
  </si>
  <si>
    <t>Paid for goods or services at a grocery store, clothing shop or any other store/shop</t>
  </si>
  <si>
    <r>
      <t xml:space="preserve">Other </t>
    </r>
    <r>
      <rPr>
        <sz val="9"/>
        <color indexed="8"/>
        <rFont val="Arial"/>
        <family val="2"/>
      </rPr>
      <t>(Specify)</t>
    </r>
  </si>
  <si>
    <t>I do not know what it is/I do not understand what I can use it for</t>
  </si>
  <si>
    <t>I do not know how to use the services</t>
  </si>
  <si>
    <t>I do not have the required identification documents</t>
  </si>
  <si>
    <t>There is no point-of-service/agent close to where I live</t>
  </si>
  <si>
    <t xml:space="preserve">Using such an account is difficult </t>
  </si>
  <si>
    <t>Fees for using this service are too high</t>
  </si>
  <si>
    <t>I do not have money/I do not have money to make any transactions with such an account</t>
  </si>
  <si>
    <t>No one among my friends or family uses this service</t>
  </si>
  <si>
    <t>I cannot use mobile money services on my phone</t>
  </si>
  <si>
    <t>I do not trust that my money is safe on a mobile money account</t>
  </si>
  <si>
    <t>My male family members (i.e., husband, father, in-laws) do not approve of me having a mobile money account</t>
  </si>
  <si>
    <t>It is against my religion</t>
  </si>
  <si>
    <t>Mobile money does not provide anything better/any advantage over the financial services I currently use</t>
  </si>
  <si>
    <t>I do not have a state ID or other required documents</t>
  </si>
  <si>
    <t>There is no point of service/agent close to where I live</t>
  </si>
  <si>
    <t>I do not need to, I do not make any transactions</t>
  </si>
  <si>
    <t>Using such an account is difficult</t>
  </si>
  <si>
    <t>Fees for using such an account are too high</t>
  </si>
  <si>
    <t>I never have money to make a transaction with such an account</t>
  </si>
  <si>
    <t>No one among my friends or family has such account</t>
  </si>
  <si>
    <t>I do not understand the purpose of this account, I don’t know what I can use it for</t>
  </si>
  <si>
    <t>I can have all the services through an agent, I do not need an account</t>
  </si>
  <si>
    <t>Registration fees are too high</t>
  </si>
  <si>
    <t>I prefer that agents perform transactions for me, they will fix the problems if anything happens/agent can help me use the service</t>
  </si>
  <si>
    <t>I do not trust my money is safe on a m-money account/I prefer to keep money in cash and use m-money only to send/receive money</t>
  </si>
  <si>
    <t>I have heard of fraud on mobile money</t>
  </si>
  <si>
    <t>I do not see any additional advantages to registration</t>
  </si>
  <si>
    <t>Someone in my family already has an account</t>
  </si>
  <si>
    <t xml:space="preserve">I had to send money to another person </t>
  </si>
  <si>
    <t xml:space="preserve">I had to receive money from another person </t>
  </si>
  <si>
    <t xml:space="preserve">Somebody/a person requested I open an account </t>
  </si>
  <si>
    <t>I had to send money to an organization/government agency (e.g., had to pay a bill)</t>
  </si>
  <si>
    <t>I had to receive money from an organization/government agency (e.g: pension, unemployment payment or welfare benefits</t>
  </si>
  <si>
    <t>A person I know, who uses mobile money, recommended I use mobile money because it is better than other financial instruments I use</t>
  </si>
  <si>
    <t>I saw other people using it and wanted to try by myself/most of my friends or family members are already using it</t>
  </si>
  <si>
    <t>I wanted to start saving money with a  m-money account</t>
  </si>
  <si>
    <t>I got a promotional amount of money to spend if I start using m-money/I got a discount</t>
  </si>
  <si>
    <t xml:space="preserve">Pay a utility bill (i.e., electricity, water, solar, TV/cable) </t>
  </si>
  <si>
    <t>Transfer money from a mobile money account to an account at another financial institution (MFI, etc.)</t>
  </si>
  <si>
    <t>Parents</t>
  </si>
  <si>
    <t>Spouse</t>
  </si>
  <si>
    <t>Children</t>
  </si>
  <si>
    <t>Other family members</t>
  </si>
  <si>
    <t>Friends</t>
  </si>
  <si>
    <t>Merry-go-rounds</t>
  </si>
  <si>
    <t>Business-related payments</t>
  </si>
  <si>
    <t>Withdraw all in cash</t>
  </si>
  <si>
    <t>Withdraw some now but leave some on mobile money for later use</t>
  </si>
  <si>
    <t>Keep all of it on mobile money for later use</t>
  </si>
  <si>
    <t>Save all in a mobile money account</t>
  </si>
  <si>
    <t>Transfer all or some to a bank account</t>
  </si>
  <si>
    <t>Use it electronically to buy goods, pay bills, send to other people, etc.</t>
  </si>
  <si>
    <t xml:space="preserve">Pay employees </t>
  </si>
  <si>
    <t>Pay suppliers</t>
  </si>
  <si>
    <t>Receive payments from customers</t>
  </si>
  <si>
    <t>Receive payments from distributors</t>
  </si>
  <si>
    <t xml:space="preserve">Make investment, for example buy new equipment or expand the office/business building </t>
  </si>
  <si>
    <t>Pay business-associated expenses, including rent, taxes, utility and transportation bills</t>
  </si>
  <si>
    <t>Pay for agricultural inputs (seeds, pesticides, fertilizers, etc.)</t>
  </si>
  <si>
    <r>
      <t>Other (Please specify)</t>
    </r>
    <r>
      <rPr>
        <sz val="12"/>
        <color indexed="8"/>
        <rFont val="Calibri"/>
        <family val="2"/>
      </rPr>
      <t xml:space="preserve"> _______________________</t>
    </r>
  </si>
  <si>
    <t>I do not use my mobile money account to make business transactions</t>
  </si>
  <si>
    <t>Out of courtesy</t>
  </si>
  <si>
    <t>The agent is fast</t>
  </si>
  <si>
    <t>I trust this agent</t>
  </si>
  <si>
    <t>Reliability: the agent is always present during work hours</t>
  </si>
  <si>
    <t>Reliability: the agent always has e-float and/or cash to help with my transaction</t>
  </si>
  <si>
    <t>Proximity to where I live</t>
  </si>
  <si>
    <t>Proximity to places I go --school, retail store, my job, etc</t>
  </si>
  <si>
    <t>Agent is knowledgeable/helpful</t>
  </si>
  <si>
    <t>Agent is friendly and engaged</t>
  </si>
  <si>
    <t>Agent is my personal friend, family member or a relative</t>
  </si>
  <si>
    <t>My family members, friends or workmates use this agent</t>
  </si>
  <si>
    <t>Out of habit</t>
  </si>
  <si>
    <t>Because the agent is a female</t>
  </si>
  <si>
    <t>Because the agent is a male</t>
  </si>
  <si>
    <t>Agent was recommended to me</t>
  </si>
  <si>
    <t>The agent’s place is safe/secure</t>
  </si>
  <si>
    <t>Walk</t>
  </si>
  <si>
    <t>Use a motorcycle taxi or a mini-bus taxi</t>
  </si>
  <si>
    <t>Use a regular bus</t>
  </si>
  <si>
    <t>Have to take a train</t>
  </si>
  <si>
    <t>Agent would come to me</t>
  </si>
  <si>
    <t>Ride a bicycle</t>
  </si>
  <si>
    <t>Ride my own car or motorbike</t>
  </si>
  <si>
    <t>Get a car/motorbike ride for free with a friend/relative/neighbor</t>
  </si>
  <si>
    <t>Insurance company</t>
  </si>
  <si>
    <t>Koperasi/Ventura</t>
  </si>
  <si>
    <t>Arisan</t>
  </si>
  <si>
    <t>Church or mosque</t>
  </si>
  <si>
    <t>Friends, family, neighbors</t>
  </si>
  <si>
    <t>Radio</t>
  </si>
  <si>
    <t>TV</t>
  </si>
  <si>
    <t>Newspapers, other printed media</t>
  </si>
  <si>
    <t>Big adverts, billboards</t>
  </si>
  <si>
    <t>Leaflet from a financial institution</t>
  </si>
  <si>
    <t>LSM NGO workshop/seminar</t>
  </si>
  <si>
    <t>Local government</t>
  </si>
  <si>
    <t>Internet</t>
  </si>
  <si>
    <t>Supernatural being (or medium such as dukun)</t>
  </si>
  <si>
    <t>Myself only</t>
  </si>
  <si>
    <t>Repay of any existing debts</t>
  </si>
  <si>
    <t>Buy the family some clothes/something nice for the home</t>
  </si>
  <si>
    <t>Buy better food</t>
  </si>
  <si>
    <t>Buy more of your usual foods</t>
  </si>
  <si>
    <t>Investing in assets like shares, real estate, jewelry</t>
  </si>
  <si>
    <t>Entertainment: movies, restaurants, sport shows, theater plays, restaurants, clubbing, partying</t>
  </si>
  <si>
    <t>Paying school fees</t>
  </si>
  <si>
    <t>Building or upgrading the home/property</t>
  </si>
  <si>
    <t>Buying a piece of land</t>
  </si>
  <si>
    <t>Acquiring furniture and household utensils</t>
  </si>
  <si>
    <t>Paying off a debt</t>
  </si>
  <si>
    <t>Growing my business or a family member’s business</t>
  </si>
  <si>
    <t>Investing in the farm</t>
  </si>
  <si>
    <t>Taking care of relatives</t>
  </si>
  <si>
    <t>Preparing for the expenses of a new child</t>
  </si>
  <si>
    <t>Acquiring some kind of personal asset: motorbike, phone, TV, laptop, car, etc.</t>
  </si>
  <si>
    <t>Make more money</t>
  </si>
  <si>
    <t>Other (Specify)</t>
  </si>
  <si>
    <t>Routine purchases such as groceries and transportation</t>
  </si>
  <si>
    <t>Medical payments, hospital charges</t>
  </si>
  <si>
    <t>Educational expenses, school fees</t>
  </si>
  <si>
    <t>Bills: utility bills, rent, taxes, etc.</t>
  </si>
  <si>
    <t>Mobile phone airtime</t>
  </si>
  <si>
    <t>Emergency expenses (Specify)</t>
  </si>
  <si>
    <t>Investment in business, farm or future, e.g., buying livestock, land, seeds, equipment and machinery, etc.</t>
  </si>
  <si>
    <t>Make a large purchase, such as TV, car or bicycle, house, etc.</t>
  </si>
  <si>
    <t>To boost my business</t>
  </si>
  <si>
    <t>I do not borrow money/don’t have loans</t>
  </si>
  <si>
    <t>I can borrow money through other means</t>
  </si>
  <si>
    <t>I do not know how to open an account</t>
  </si>
  <si>
    <t>There is no formal financial institution close to where I live</t>
  </si>
  <si>
    <t>Paperwork is too complicated</t>
  </si>
  <si>
    <t>I have difficulty understanding how to use such accounts, including account menus, filling deposit/withdrawal slips, checking my balance, etc.</t>
  </si>
  <si>
    <t>No one among my friends or family saves/borrows money</t>
  </si>
  <si>
    <t>I do not trust formal financial institutions</t>
  </si>
  <si>
    <t>I prefer to rely on my friends and family for financial services rather than formal institutions</t>
  </si>
  <si>
    <t>The amount of money I need to borrow is too small to use such a service</t>
  </si>
  <si>
    <t>Formal financial institutions are not flexible enough</t>
  </si>
  <si>
    <t>Interest rate is too high</t>
  </si>
  <si>
    <t>I have enough money, I don’t need to borrow</t>
  </si>
  <si>
    <t>I can save through other means</t>
  </si>
  <si>
    <t>No one among my friends or family saves money</t>
  </si>
  <si>
    <t>I’m afraid it will be stolen</t>
  </si>
  <si>
    <t>The amount of money I am saving is too small to use such a service</t>
  </si>
  <si>
    <t>I do not have enough money to save</t>
  </si>
  <si>
    <t>Reading in Kiswahili</t>
  </si>
  <si>
    <t>Writing in Kiswahili</t>
  </si>
  <si>
    <t>Reading in Luo</t>
  </si>
  <si>
    <t xml:space="preserve">Writing in Luo </t>
  </si>
  <si>
    <t>Reading in Kikuyu</t>
  </si>
  <si>
    <t xml:space="preserve">Writing in Kikuyu </t>
  </si>
  <si>
    <t>Reading in Sheng</t>
  </si>
  <si>
    <t xml:space="preserve">Writing in Sheng </t>
  </si>
  <si>
    <t>Reading in other language (Specify)</t>
  </si>
  <si>
    <t>Writing in other language (Specify)</t>
  </si>
  <si>
    <r>
      <t>1=Single/never married
2=Polygamously married</t>
    </r>
    <r>
      <rPr>
        <sz val="10"/>
        <color indexed="8"/>
        <rFont val="Arial"/>
        <family val="2"/>
      </rPr>
      <t xml:space="preserve">
3=Monogamously married
4=Divorced/ Separated
5=Widowed
6=Living together/cohabitating
96=Other(specify)
99=DK</t>
    </r>
  </si>
  <si>
    <r>
      <t xml:space="preserve">N/A
</t>
    </r>
    <r>
      <rPr>
        <sz val="10"/>
        <color indexed="8"/>
        <rFont val="Arial"/>
        <family val="2"/>
      </rPr>
      <t>99=DK</t>
    </r>
  </si>
  <si>
    <t>Subsection 1.5: Government benefits and welfare programs</t>
  </si>
  <si>
    <t>G2P1.1</t>
  </si>
  <si>
    <t>IF DL4_1=1 OR DL4_2=1 OR DL4_3=1</t>
  </si>
  <si>
    <t>G2P1.2</t>
  </si>
  <si>
    <t>G2P1.3</t>
  </si>
  <si>
    <t>G2P1.4</t>
  </si>
  <si>
    <t>G2P1.5</t>
  </si>
  <si>
    <t>G2P1.6</t>
  </si>
  <si>
    <t>G2P1.96</t>
  </si>
  <si>
    <t>G2P1.99</t>
  </si>
  <si>
    <t>G2P2.1</t>
  </si>
  <si>
    <t>G2P2.2</t>
  </si>
  <si>
    <t>G2P2.3</t>
  </si>
  <si>
    <t>G2P2.4</t>
  </si>
  <si>
    <t>G2P2.5</t>
  </si>
  <si>
    <t>G2P2.6</t>
  </si>
  <si>
    <t>G2P2.96</t>
  </si>
  <si>
    <t>PKH</t>
  </si>
  <si>
    <t>Fertilizer Subsidies </t>
  </si>
  <si>
    <t>BSM</t>
  </si>
  <si>
    <t>PNPM</t>
  </si>
  <si>
    <t>BPJS</t>
  </si>
  <si>
    <t>BLT</t>
  </si>
  <si>
    <t>Direct deposit to a bank</t>
  </si>
  <si>
    <t>Digital card</t>
  </si>
  <si>
    <t>See Sheet vG2P2</t>
  </si>
  <si>
    <t xml:space="preserve">Personal pick-up by self </t>
  </si>
  <si>
    <t>IF G2P1_1=1</t>
  </si>
  <si>
    <t>IF G2P1_2=1</t>
  </si>
  <si>
    <t>IF G2P1_3=1</t>
  </si>
  <si>
    <t>IF G2P1_4=1</t>
  </si>
  <si>
    <t>IF G2P1_5=1</t>
  </si>
  <si>
    <t>IF G2P1_6=1</t>
  </si>
  <si>
    <t>IF G2P1_96=1</t>
  </si>
  <si>
    <t>G2P3.1</t>
  </si>
  <si>
    <t>G2P3.2</t>
  </si>
  <si>
    <t>G2P3.3</t>
  </si>
  <si>
    <t>G2P3.4</t>
  </si>
  <si>
    <t>G2P3.5</t>
  </si>
  <si>
    <t>G2P3.6</t>
  </si>
  <si>
    <t>G2P3.96</t>
  </si>
  <si>
    <t>Transfer money between your account and an account with another financial institution</t>
  </si>
  <si>
    <t>Junior high school education complete</t>
  </si>
  <si>
    <t>Some senior high school</t>
  </si>
  <si>
    <t>Senior high school education complete</t>
  </si>
  <si>
    <t>Some secondary vocational training / some certificate</t>
  </si>
  <si>
    <t>Secondary vocational training complete / certificate complete</t>
  </si>
  <si>
    <t>Diploma complete</t>
  </si>
  <si>
    <t>Complete university degree</t>
  </si>
  <si>
    <t>Post-graduate university degree</t>
  </si>
  <si>
    <t>Informal (Sekolah agama/pesantren)</t>
  </si>
  <si>
    <t>T-Bank</t>
  </si>
  <si>
    <t>MM2.11</t>
  </si>
  <si>
    <t>MM3.11</t>
  </si>
  <si>
    <t>MM4.11</t>
  </si>
  <si>
    <t>MM5.11</t>
  </si>
  <si>
    <t>MM5A.11</t>
  </si>
  <si>
    <t>MM6.11</t>
  </si>
  <si>
    <t>MM7.11</t>
  </si>
  <si>
    <t>MM8.11</t>
  </si>
  <si>
    <t>IF MM4_1=1 OR MM4_2=1 OR MM4_3=1 OR MM4_4=1 OR MM4_5=1 OR MM4_6=1 OR MM4_7=1 OR MM4_8=1 OR MM4_9=1 OR MM4_10=1 OR MM4_11=1 OR MM4_96=1</t>
  </si>
  <si>
    <t>MM11.11.1</t>
  </si>
  <si>
    <t>MM11.11.2</t>
  </si>
  <si>
    <t>MM11.11.3</t>
  </si>
  <si>
    <t>MM11.11.4</t>
  </si>
  <si>
    <t>MM11.11.5</t>
  </si>
  <si>
    <t>MM11.11.6</t>
  </si>
  <si>
    <t>MM11.11.96</t>
  </si>
  <si>
    <t>IF MM4_11=1</t>
  </si>
  <si>
    <t>1=Myself
2=My spouse 
3=My parents/guardian
4=My child (children) 
5=Brother
8=Sister
99=DK</t>
  </si>
  <si>
    <t>IF ((MM2_1=1 or MM2_2=1 or MM2_3=1 or MM2_4=1 or MM2_5=1 or MM2_6=1 or MM2_7=1 or MM2_8=1 or MM2_9=1 or MM2_10=1 or  MM2_11=1 or MM2_96=1 or MM3_1=1 or MM3_2=1 or MM3_3=1 or MM3_4=1 or MM3_5=1 or MM3_6=1 or MM3_7=1 or MM3_8=1 or MM3_9=1 or MM3_10=1 or MM3_11=1 or MM3_96=1) AND ((MM4_1=2 or sysmis(MM4_1)) AND (MM4_2=2 or sysmis(MM4_2)) AND (MM4_3=2 or sysmis(MM4_3)) AND (MM4_4=2 or sysmis(MM4_4)) AND (MM4_5=2 or sysmis(MM4_5)) AND (MM4_6=2 or sysmis(MM4_6)) AND (MM4_7=2 or sysmis(MM4_7)) AND (MM4_8=2 or sysmis(MM4_8)) AND (MM4_9=2 or sysmis(MM4_9)) AND (MM4_10=2 or sysmis(MM4_10)) AND 
(MM4_11=2 or sysmis(MM4_11)) AND 
(MM4_96=2 or sysmis(MM4_96)))</t>
  </si>
  <si>
    <t>IF (MM4_1=1 OR MM4_2=1 OR MM4_3=1 OR MM4_4=1 OR MM4_5=1 OR MM4_6=1 OR MM4_7=1  OR MM4_8=1  OR MM4_9=1  OR MM4_10=1  OR MM4_11=1 OR MM4_96=1) AND 
((MM6_1=2 or sysmis(MM6_1)) AND (MM6_2=2 or sysmis(MM6_2)) AND (MM6_3=2 or sysmis(MM6_3)) AND (MM6_4=2 or sysmis(MM6_4)) AND
 (MM6_5=2 or sysmis(MM6_5)) AND (MM6_6=2 or sysmis(MM6_6)) AND (MM6_7=2 or sysmis(MM6_7)) AND (MM6_8=2 or sysmis(MM6_8)) AND (MM6_9=2 or sysmis(MM6_9)) AND (MM6_10=2 or sysmis(MM6_10)) AND
(MM6_11=2 or sysmis(MM6_11)) AND 
(MM6_96=2 or sysmis(MM6_96)) )</t>
  </si>
  <si>
    <t>IF MM4_1=1 OR MM4_2=1 OR MM4_3=1 OR MM4_4=1 OR MM4_5=1 OR MM4_6=1 OR MM4_7=1  OR MM4_8=1  OR MM4_9=1  OR MM4_10=1 Or MM4_11=1 OR MM4_96=1</t>
  </si>
  <si>
    <t>IF MM4_1=1 OR MM4_2=1 OR MM4_3=1 OR MM4_4=1 OR MM4_5=1 OR MM4_6=1 OR MM4_7=1  OR MM4_8=1  OR MM4_9=1  OR MM4_10=1  OR MM4_11=1 OR MM4_96=1</t>
  </si>
  <si>
    <t>IF MM6_1=1 OR MM6_2=1 OR MM6_3=1 OR MM6_4=1 OR MM6_5=1 OR MM6_6=1 OR MM6_7=1  OR MM6_8=1  OR MM6_9=1  OR MM6_10=1 MM6_11=1 OR MM6_96=1</t>
  </si>
  <si>
    <t>MM36.11</t>
  </si>
  <si>
    <t>Some junior high school</t>
  </si>
  <si>
    <t xml:space="preserve">Sent/received text messages </t>
  </si>
  <si>
    <t>1=Make transactions myself
2=Somebody does them on my behalf</t>
  </si>
  <si>
    <t>Fees for using a bank account are too high/ can’t afford the minimum balance</t>
  </si>
  <si>
    <t>A door-to-door banking agent or another person who is associated with this bank or MFI/mobile collector/banking agent</t>
  </si>
  <si>
    <t>1=Over the counter in a branch of the bank
2=ATM_x000D_
3=Bank deposits or withdrawals over the counter at a retail store
4=Bank’s website/online banking
5=Mobile app/mobile banking
6=A door-to-door banking agent or another person who is associated with this bank or MFI/mobile collector/banking agent
96=Other (Specify)</t>
  </si>
  <si>
    <t>5=Excellent 
4=Good
3=Somewhat bad
2=Very bad
1=Cannot do this at all</t>
  </si>
  <si>
    <t>IF FL9A NE 11</t>
  </si>
  <si>
    <t>I don’t use because all agents are men</t>
  </si>
  <si>
    <t xml:space="preserve">1=Yesterday
2=In the past 7 days
3=In the past 30 days
4=In the past 90 days
5=More than 90 days ago
6=Stop using altogether </t>
  </si>
  <si>
    <t xml:space="preserve">IF (FL9B NE 11) AND (FL9A NE 11) </t>
  </si>
  <si>
    <t>Transfer money between a bank account and an account with another financial institution</t>
  </si>
  <si>
    <t>MM10A.1</t>
  </si>
  <si>
    <t>MM10A.2</t>
  </si>
  <si>
    <t>MM10A.3</t>
  </si>
  <si>
    <t>MM10A.4</t>
  </si>
  <si>
    <t>MM10A.5</t>
  </si>
  <si>
    <t>MM10A.6</t>
  </si>
  <si>
    <t>MM10A.7</t>
  </si>
  <si>
    <t>MM10A.8</t>
  </si>
  <si>
    <t>MM10A.9</t>
  </si>
  <si>
    <t>MM10A.10</t>
  </si>
  <si>
    <t xml:space="preserve">FB2.If it was available to you now, which would you prefer to have more? </t>
  </si>
  <si>
    <t>FB3.Have you needed credit in the past year but could not access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</si>
</sst>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b/>
      <sz val="10"/>
      <name val="Arial"/>
      <family val="2"/>
    </font>
    <font>
      <sz val="10"/>
      <name val="Tw Cen MT"/>
      <family val="2"/>
    </font>
    <font>
      <sz val="12"/>
      <color indexed="8"/>
      <name val="Calibri"/>
      <family val="2"/>
    </font>
    <font>
      <sz val="9"/>
      <name val="Arial"/>
      <family val="2"/>
    </font>
    <font>
      <sz val="9"/>
      <color indexed="8"/>
      <name val="Arial"/>
      <family val="2"/>
    </font>
    <font>
      <sz val="8"/>
      <color indexed="8"/>
      <name val="Calibri"/>
      <family val="2"/>
    </font>
    <font>
      <sz val="11"/>
      <color theme="1"/>
      <name val="Calibri"/>
      <family val="2"/>
      <scheme val="minor"/>
    </font>
    <font>
      <b/>
      <sz val="11"/>
      <color theme="0"/>
      <name val="Calibri"/>
      <family val="2"/>
      <scheme val="minor"/>
    </font>
    <font>
      <sz val="11"/>
      <color rgb="FF006100"/>
      <name val="Calibri"/>
      <family val="2"/>
      <scheme val="minor"/>
    </font>
    <font>
      <u/>
      <sz val="11"/>
      <color theme="10"/>
      <name val="Calibri"/>
      <family val="2"/>
      <scheme val="minor"/>
    </font>
    <font>
      <b/>
      <sz val="11"/>
      <color theme="1"/>
      <name val="Calibri"/>
      <family val="2"/>
      <scheme val="minor"/>
    </font>
    <font>
      <b/>
      <sz val="10"/>
      <color theme="1"/>
      <name val="Arial"/>
      <family val="2"/>
    </font>
    <font>
      <sz val="10"/>
      <color theme="1"/>
      <name val="Arial"/>
      <family val="2"/>
    </font>
    <font>
      <sz val="10"/>
      <color theme="1"/>
      <name val="Tw Cen MT"/>
      <family val="2"/>
    </font>
    <font>
      <sz val="9"/>
      <color theme="1"/>
      <name val="Arial"/>
      <family val="2"/>
    </font>
    <font>
      <sz val="10"/>
      <color rgb="FF000000"/>
      <name val="Tw Cen MT"/>
      <family val="2"/>
    </font>
    <font>
      <sz val="11"/>
      <color rgb="FF000000"/>
      <name val="Calibri"/>
      <family val="2"/>
    </font>
    <font>
      <sz val="10"/>
      <color theme="1"/>
      <name val="Calibri"/>
      <family val="2"/>
      <scheme val="minor"/>
    </font>
    <font>
      <i/>
      <sz val="8"/>
      <color theme="1"/>
      <name val="Calibri"/>
      <family val="2"/>
      <scheme val="minor"/>
    </font>
    <font>
      <sz val="10"/>
      <color indexed="8"/>
      <name val="Arial"/>
      <family val="2"/>
    </font>
    <font>
      <u/>
      <sz val="10"/>
      <color theme="10"/>
      <name val="Arial"/>
      <family val="2"/>
    </font>
    <font>
      <b/>
      <sz val="10"/>
      <color rgb="FF000000"/>
      <name val="Arial"/>
      <family val="2"/>
    </font>
    <font>
      <sz val="10"/>
      <color rgb="FF000000"/>
      <name val="Arial"/>
      <family val="2"/>
    </font>
    <font>
      <sz val="10"/>
      <name val="Arial"/>
      <family val="2"/>
    </font>
    <font>
      <sz val="10"/>
      <color rgb="FF006100"/>
      <name val="Arial"/>
      <family val="2"/>
    </font>
  </fonts>
  <fills count="8">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A5A5A5"/>
        <bgColor indexed="64"/>
      </patternFill>
    </fill>
    <fill>
      <patternFill patternType="solid">
        <fgColor rgb="FFC6EFCE"/>
        <bgColor indexed="64"/>
      </patternFill>
    </fill>
    <fill>
      <patternFill patternType="solid">
        <fgColor rgb="FF92D050"/>
        <bgColor indexed="64"/>
      </patternFill>
    </fill>
    <fill>
      <patternFill patternType="solid">
        <fgColor rgb="FFFF0000"/>
        <bgColor indexed="64"/>
      </patternFill>
    </fill>
  </fills>
  <borders count="10">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double">
        <color rgb="FF3F3F3F"/>
      </left>
      <right style="double">
        <color rgb="FF3F3F3F"/>
      </right>
      <top style="double">
        <color rgb="FF3F3F3F"/>
      </top>
      <bottom style="double">
        <color rgb="FF3F3F3F"/>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s>
  <cellStyleXfs count="4">
    <xf numFmtId="0" fontId="0" fillId="0" borderId="0"/>
    <xf numFmtId="0" fontId="8" fillId="4" borderId="5" applyNumberFormat="0" applyAlignment="0" applyProtection="0"/>
    <xf numFmtId="0" fontId="9" fillId="5" borderId="0" applyNumberFormat="0" applyBorder="0" applyAlignment="0" applyProtection="0"/>
    <xf numFmtId="0" fontId="10" fillId="0" borderId="0" applyNumberFormat="0" applyFill="0" applyBorder="0" applyAlignment="0" applyProtection="0"/>
  </cellStyleXfs>
  <cellXfs count="125">
    <xf numFmtId="0" fontId="0" fillId="0" borderId="0" xfId="0"/>
    <xf numFmtId="0" fontId="13" fillId="0" borderId="0" xfId="0" applyFont="1" applyAlignment="1">
      <alignment vertical="center"/>
    </xf>
    <xf numFmtId="0" fontId="13" fillId="0" borderId="0" xfId="0" applyFont="1" applyAlignment="1">
      <alignment horizontal="left" vertical="center"/>
    </xf>
    <xf numFmtId="0" fontId="13" fillId="0" borderId="0" xfId="0" applyFont="1" applyFill="1" applyAlignment="1">
      <alignment vertical="center"/>
    </xf>
    <xf numFmtId="0" fontId="14" fillId="0" borderId="0" xfId="0" applyFont="1" applyBorder="1" applyAlignment="1">
      <alignment vertical="center" wrapText="1"/>
    </xf>
    <xf numFmtId="0" fontId="14" fillId="0" borderId="0" xfId="0" applyFont="1" applyBorder="1" applyAlignment="1">
      <alignment horizontal="justify" vertical="center" wrapText="1"/>
    </xf>
    <xf numFmtId="0" fontId="2" fillId="0" borderId="6" xfId="0" applyFont="1" applyBorder="1" applyAlignment="1">
      <alignment vertical="center"/>
    </xf>
    <xf numFmtId="0" fontId="0" fillId="0" borderId="0" xfId="0" applyAlignment="1"/>
    <xf numFmtId="0" fontId="0" fillId="0" borderId="0" xfId="0"/>
    <xf numFmtId="0" fontId="13" fillId="0" borderId="1" xfId="0" applyFont="1" applyBorder="1" applyAlignment="1">
      <alignment vertical="center" wrapText="1"/>
    </xf>
    <xf numFmtId="0" fontId="13" fillId="0" borderId="0" xfId="0" applyFont="1" applyAlignment="1">
      <alignment vertical="center"/>
    </xf>
    <xf numFmtId="0" fontId="12" fillId="2" borderId="0" xfId="0" applyFont="1" applyFill="1" applyAlignment="1">
      <alignment horizontal="left" vertical="center"/>
    </xf>
    <xf numFmtId="0" fontId="12" fillId="2" borderId="0" xfId="0" applyFont="1" applyFill="1" applyAlignment="1">
      <alignment horizontal="center" vertical="center"/>
    </xf>
    <xf numFmtId="0" fontId="13" fillId="0" borderId="0" xfId="0" applyFont="1" applyAlignment="1">
      <alignment horizontal="center" vertical="center"/>
    </xf>
    <xf numFmtId="0" fontId="13" fillId="0" borderId="1" xfId="0" applyFont="1" applyFill="1" applyBorder="1" applyAlignment="1">
      <alignment horizontal="left" vertical="center" wrapText="1"/>
    </xf>
    <xf numFmtId="0" fontId="0" fillId="0" borderId="0" xfId="0" applyAlignment="1">
      <alignment wrapText="1"/>
    </xf>
    <xf numFmtId="0" fontId="15" fillId="0" borderId="0" xfId="0" applyFont="1" applyAlignment="1">
      <alignment vertical="center"/>
    </xf>
    <xf numFmtId="0" fontId="16" fillId="0" borderId="0" xfId="0" applyFont="1" applyFill="1" applyBorder="1" applyAlignment="1">
      <alignment vertical="center" wrapText="1"/>
    </xf>
    <xf numFmtId="0" fontId="16" fillId="0" borderId="0" xfId="0" applyFont="1" applyBorder="1" applyAlignment="1">
      <alignment vertical="center" wrapText="1"/>
    </xf>
    <xf numFmtId="0" fontId="2" fillId="0" borderId="7" xfId="0" applyFont="1" applyBorder="1" applyAlignment="1">
      <alignment vertical="center"/>
    </xf>
    <xf numFmtId="0" fontId="7" fillId="0" borderId="0" xfId="3" applyFont="1" applyAlignment="1">
      <alignment vertical="center" wrapText="1"/>
    </xf>
    <xf numFmtId="0" fontId="0" fillId="6" borderId="0" xfId="0" applyFill="1"/>
    <xf numFmtId="0" fontId="15" fillId="0" borderId="0" xfId="0" applyFont="1" applyBorder="1" applyAlignment="1">
      <alignment vertical="center"/>
    </xf>
    <xf numFmtId="0" fontId="11" fillId="6" borderId="0" xfId="0" applyFont="1" applyFill="1" applyAlignment="1"/>
    <xf numFmtId="0" fontId="15" fillId="0" borderId="0" xfId="0" applyFont="1"/>
    <xf numFmtId="0" fontId="15" fillId="0" borderId="0" xfId="0" applyFont="1" applyBorder="1" applyAlignment="1">
      <alignment vertical="center" wrapText="1"/>
    </xf>
    <xf numFmtId="0" fontId="12" fillId="2" borderId="0" xfId="0" applyFont="1" applyFill="1" applyBorder="1" applyAlignment="1">
      <alignment horizontal="left" vertical="center"/>
    </xf>
    <xf numFmtId="0" fontId="0" fillId="0" borderId="0" xfId="0" applyBorder="1"/>
    <xf numFmtId="0" fontId="15" fillId="0" borderId="0" xfId="0" applyFont="1" applyBorder="1" applyAlignment="1">
      <alignment horizontal="center" vertical="center" wrapText="1"/>
    </xf>
    <xf numFmtId="0" fontId="15" fillId="0" borderId="0" xfId="0" applyFont="1" applyBorder="1" applyAlignment="1">
      <alignment horizontal="justify" vertical="center" wrapText="1"/>
    </xf>
    <xf numFmtId="0" fontId="15" fillId="0" borderId="0" xfId="0" applyFont="1" applyAlignment="1">
      <alignment horizontal="left" vertical="top" wrapText="1"/>
    </xf>
    <xf numFmtId="0" fontId="15" fillId="0" borderId="0" xfId="0" applyFont="1" applyAlignment="1">
      <alignment vertical="top"/>
    </xf>
    <xf numFmtId="0" fontId="4"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12" fillId="2" borderId="0" xfId="0" applyFont="1" applyFill="1" applyBorder="1" applyAlignment="1">
      <alignment horizontal="center" vertical="center"/>
    </xf>
    <xf numFmtId="0" fontId="15" fillId="0" borderId="0" xfId="0" applyFont="1" applyBorder="1" applyAlignment="1">
      <alignment horizontal="center" vertical="center"/>
    </xf>
    <xf numFmtId="0" fontId="15" fillId="0" borderId="0" xfId="0" applyFont="1" applyBorder="1" applyAlignment="1">
      <alignment horizontal="justify" vertical="center"/>
    </xf>
    <xf numFmtId="0" fontId="13" fillId="0" borderId="0" xfId="0" applyFont="1" applyFill="1" applyAlignment="1">
      <alignment horizontal="left" vertical="center"/>
    </xf>
    <xf numFmtId="0" fontId="11" fillId="0" borderId="0" xfId="0" applyFont="1" applyAlignment="1"/>
    <xf numFmtId="0" fontId="4" fillId="0" borderId="0" xfId="0" applyFont="1" applyAlignment="1">
      <alignment vertical="center"/>
    </xf>
    <xf numFmtId="0" fontId="15" fillId="0" borderId="0" xfId="0" applyFont="1" applyBorder="1" applyAlignment="1"/>
    <xf numFmtId="0" fontId="17" fillId="0" borderId="0" xfId="0" applyFont="1" applyBorder="1" applyAlignment="1">
      <alignment vertical="center"/>
    </xf>
    <xf numFmtId="0" fontId="15" fillId="0" borderId="0" xfId="0" applyFont="1" applyFill="1" applyBorder="1" applyAlignment="1">
      <alignment vertical="center"/>
    </xf>
    <xf numFmtId="0" fontId="18" fillId="0" borderId="0" xfId="0" applyFont="1"/>
    <xf numFmtId="0" fontId="15" fillId="0" borderId="0" xfId="0" applyFont="1" applyFill="1" applyBorder="1" applyAlignment="1">
      <alignment horizontal="center" vertical="center" wrapText="1"/>
    </xf>
    <xf numFmtId="0" fontId="19" fillId="0" borderId="0" xfId="0" applyFont="1"/>
    <xf numFmtId="0" fontId="13" fillId="0" borderId="0" xfId="0" applyFont="1" applyFill="1" applyBorder="1" applyAlignment="1">
      <alignment vertical="center"/>
    </xf>
    <xf numFmtId="0" fontId="15" fillId="0" borderId="0" xfId="0" applyFont="1" applyBorder="1" applyAlignment="1">
      <alignment horizontal="left" vertical="center"/>
    </xf>
    <xf numFmtId="0" fontId="12" fillId="0" borderId="0" xfId="0" applyFont="1" applyBorder="1" applyAlignment="1">
      <alignment horizontal="center" vertical="center" wrapText="1"/>
    </xf>
    <xf numFmtId="0" fontId="13" fillId="0" borderId="0" xfId="0" applyFont="1" applyBorder="1" applyAlignment="1">
      <alignment vertical="center" wrapText="1"/>
    </xf>
    <xf numFmtId="0" fontId="12" fillId="3" borderId="1" xfId="0" applyFont="1" applyFill="1" applyBorder="1" applyAlignment="1">
      <alignment horizontal="center" vertical="center"/>
    </xf>
    <xf numFmtId="0" fontId="12" fillId="3" borderId="1" xfId="0" applyFont="1" applyFill="1" applyBorder="1" applyAlignment="1">
      <alignment horizontal="left" vertical="center"/>
    </xf>
    <xf numFmtId="0" fontId="12" fillId="0" borderId="1" xfId="0" applyFont="1" applyFill="1"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left" vertical="center" wrapText="1"/>
    </xf>
    <xf numFmtId="0" fontId="13" fillId="7" borderId="1" xfId="0" applyFont="1" applyFill="1" applyBorder="1" applyAlignment="1">
      <alignment vertical="center" wrapText="1"/>
    </xf>
    <xf numFmtId="0" fontId="13" fillId="0" borderId="1" xfId="0" applyFont="1" applyFill="1" applyBorder="1" applyAlignment="1">
      <alignment vertical="center" wrapText="1"/>
    </xf>
    <xf numFmtId="0" fontId="13" fillId="0" borderId="1" xfId="0" applyFont="1" applyBorder="1" applyAlignment="1">
      <alignment vertical="center"/>
    </xf>
    <xf numFmtId="0" fontId="21" fillId="0" borderId="1" xfId="3" applyFont="1" applyBorder="1" applyAlignment="1">
      <alignment vertical="center" wrapText="1"/>
    </xf>
    <xf numFmtId="0" fontId="21" fillId="0" borderId="0" xfId="3" applyFont="1"/>
    <xf numFmtId="0" fontId="21" fillId="0" borderId="1" xfId="3" applyFont="1" applyBorder="1" applyAlignment="1">
      <alignment vertical="center"/>
    </xf>
    <xf numFmtId="0" fontId="21" fillId="0" borderId="1" xfId="3" applyFont="1" applyFill="1" applyBorder="1" applyAlignment="1">
      <alignment vertical="center" wrapText="1"/>
    </xf>
    <xf numFmtId="0" fontId="13" fillId="0" borderId="0" xfId="0" applyFont="1" applyAlignment="1">
      <alignment wrapText="1"/>
    </xf>
    <xf numFmtId="0" fontId="1" fillId="0" borderId="1" xfId="0" applyFont="1" applyFill="1" applyBorder="1" applyAlignment="1">
      <alignment horizontal="center" vertical="center"/>
    </xf>
    <xf numFmtId="0" fontId="12" fillId="0" borderId="8" xfId="0" applyFont="1" applyBorder="1" applyAlignment="1">
      <alignment horizontal="center" vertical="center"/>
    </xf>
    <xf numFmtId="0" fontId="13" fillId="0" borderId="8" xfId="0" applyFont="1" applyBorder="1" applyAlignment="1">
      <alignment vertical="center" wrapText="1"/>
    </xf>
    <xf numFmtId="0" fontId="22" fillId="0" borderId="0" xfId="0" applyFont="1" applyFill="1" applyBorder="1" applyAlignment="1">
      <alignment horizontal="center" vertical="center"/>
    </xf>
    <xf numFmtId="0" fontId="23" fillId="0" borderId="0" xfId="0" applyFont="1" applyFill="1" applyBorder="1" applyAlignment="1">
      <alignment vertical="center" wrapText="1"/>
    </xf>
    <xf numFmtId="0" fontId="12" fillId="0" borderId="4" xfId="0" applyFont="1" applyBorder="1" applyAlignment="1">
      <alignment horizontal="center" vertical="center"/>
    </xf>
    <xf numFmtId="0" fontId="12" fillId="0" borderId="4" xfId="0" applyFont="1" applyFill="1" applyBorder="1" applyAlignment="1">
      <alignment horizontal="center" vertical="center"/>
    </xf>
    <xf numFmtId="0" fontId="23" fillId="0" borderId="0" xfId="1" applyFont="1" applyFill="1" applyBorder="1" applyAlignment="1">
      <alignment wrapText="1"/>
    </xf>
    <xf numFmtId="0" fontId="23" fillId="0" borderId="0" xfId="1" applyFont="1" applyFill="1" applyBorder="1" applyAlignment="1">
      <alignment vertical="center" wrapText="1"/>
    </xf>
    <xf numFmtId="0" fontId="12" fillId="0" borderId="9" xfId="0" applyFont="1" applyBorder="1" applyAlignment="1">
      <alignment horizontal="center" vertical="center"/>
    </xf>
    <xf numFmtId="0" fontId="13" fillId="0" borderId="9" xfId="0" applyFont="1" applyBorder="1" applyAlignment="1">
      <alignment vertical="center" wrapText="1"/>
    </xf>
    <xf numFmtId="0" fontId="13" fillId="0" borderId="2" xfId="0" applyFont="1" applyBorder="1" applyAlignment="1">
      <alignment vertical="center" wrapText="1"/>
    </xf>
    <xf numFmtId="0" fontId="12" fillId="3" borderId="8" xfId="0" applyFont="1" applyFill="1" applyBorder="1" applyAlignment="1">
      <alignment horizontal="left" vertical="center"/>
    </xf>
    <xf numFmtId="0" fontId="13" fillId="0" borderId="0" xfId="0" applyFont="1"/>
    <xf numFmtId="0" fontId="13" fillId="0" borderId="9" xfId="0" applyFont="1" applyFill="1" applyBorder="1" applyAlignment="1">
      <alignment vertical="center" wrapText="1"/>
    </xf>
    <xf numFmtId="0" fontId="21" fillId="0" borderId="8" xfId="3" applyFont="1" applyBorder="1" applyAlignment="1">
      <alignment vertical="center" wrapText="1"/>
    </xf>
    <xf numFmtId="0" fontId="13" fillId="0" borderId="2" xfId="0" applyFont="1" applyFill="1" applyBorder="1" applyAlignment="1">
      <alignment vertical="center" wrapText="1"/>
    </xf>
    <xf numFmtId="0" fontId="24" fillId="0" borderId="1" xfId="0" applyFont="1" applyFill="1" applyBorder="1" applyAlignment="1">
      <alignment horizontal="left" vertical="center" wrapText="1"/>
    </xf>
    <xf numFmtId="0" fontId="22" fillId="0" borderId="1" xfId="0" applyFont="1" applyFill="1" applyBorder="1" applyAlignment="1">
      <alignment horizontal="center" vertical="center"/>
    </xf>
    <xf numFmtId="0" fontId="22" fillId="0" borderId="1" xfId="2" applyFont="1" applyFill="1" applyBorder="1" applyAlignment="1">
      <alignment horizontal="center" vertical="center"/>
    </xf>
    <xf numFmtId="0" fontId="23" fillId="0" borderId="1" xfId="2" applyFont="1" applyFill="1" applyBorder="1" applyAlignment="1">
      <alignment vertical="center" wrapText="1"/>
    </xf>
    <xf numFmtId="0" fontId="23" fillId="0" borderId="1" xfId="2" applyFont="1" applyFill="1" applyBorder="1" applyAlignment="1">
      <alignment horizontal="left" vertical="center" wrapText="1"/>
    </xf>
    <xf numFmtId="0" fontId="25" fillId="0" borderId="0" xfId="2" applyFont="1" applyFill="1" applyAlignment="1">
      <alignment vertical="center"/>
    </xf>
    <xf numFmtId="0" fontId="12" fillId="0" borderId="2" xfId="0" applyFont="1" applyBorder="1" applyAlignment="1">
      <alignment horizontal="center" vertical="center"/>
    </xf>
    <xf numFmtId="0" fontId="13" fillId="0" borderId="3" xfId="0" applyFont="1" applyBorder="1" applyAlignment="1">
      <alignment vertical="center" wrapText="1"/>
    </xf>
    <xf numFmtId="0" fontId="13" fillId="0" borderId="3" xfId="0" applyFont="1" applyBorder="1" applyAlignment="1">
      <alignment horizontal="left" vertical="center" wrapText="1"/>
    </xf>
    <xf numFmtId="0" fontId="13" fillId="0" borderId="0" xfId="0" applyFont="1" applyFill="1" applyAlignment="1">
      <alignment vertical="center" wrapText="1"/>
    </xf>
    <xf numFmtId="0" fontId="13" fillId="0" borderId="0" xfId="0" applyFont="1" applyFill="1" applyBorder="1" applyAlignment="1">
      <alignment vertical="center" wrapText="1"/>
    </xf>
    <xf numFmtId="0" fontId="13" fillId="0" borderId="0" xfId="0" applyFont="1" applyFill="1" applyBorder="1" applyAlignment="1">
      <alignment horizontal="left" vertical="center" wrapText="1"/>
    </xf>
    <xf numFmtId="0" fontId="21" fillId="0" borderId="0" xfId="3" applyFont="1" applyFill="1" applyAlignment="1">
      <alignment vertical="center"/>
    </xf>
    <xf numFmtId="0" fontId="12" fillId="0" borderId="0" xfId="0" applyFont="1" applyFill="1" applyBorder="1" applyAlignment="1">
      <alignment horizontal="center" vertical="center"/>
    </xf>
    <xf numFmtId="0" fontId="21" fillId="0" borderId="0" xfId="3" applyFont="1" applyFill="1" applyAlignment="1">
      <alignment vertical="center" wrapText="1"/>
    </xf>
    <xf numFmtId="0" fontId="13" fillId="0" borderId="0" xfId="0" applyFont="1" applyAlignment="1">
      <alignment vertical="center" wrapText="1"/>
    </xf>
    <xf numFmtId="0" fontId="12" fillId="0" borderId="0" xfId="0" applyFont="1" applyBorder="1" applyAlignment="1">
      <alignment horizontal="center" vertical="center"/>
    </xf>
    <xf numFmtId="0" fontId="21" fillId="0" borderId="0" xfId="3" applyFont="1" applyAlignment="1">
      <alignment vertical="center" wrapText="1"/>
    </xf>
    <xf numFmtId="0" fontId="12" fillId="0" borderId="9" xfId="0" applyFont="1" applyFill="1" applyBorder="1" applyAlignment="1">
      <alignment horizontal="center" vertical="center"/>
    </xf>
    <xf numFmtId="0" fontId="13" fillId="0" borderId="9" xfId="0" applyFont="1" applyFill="1" applyBorder="1" applyAlignment="1">
      <alignment horizontal="left" vertical="center" wrapText="1"/>
    </xf>
    <xf numFmtId="0" fontId="12" fillId="0" borderId="0" xfId="0" applyFont="1" applyFill="1" applyAlignment="1">
      <alignment horizontal="center" vertical="center"/>
    </xf>
    <xf numFmtId="0" fontId="22" fillId="0" borderId="0" xfId="2" applyFont="1" applyFill="1" applyAlignment="1">
      <alignment horizontal="center" vertical="center"/>
    </xf>
    <xf numFmtId="0" fontId="23" fillId="0" borderId="0" xfId="2" applyFont="1" applyFill="1" applyAlignment="1">
      <alignment vertical="center" wrapText="1"/>
    </xf>
    <xf numFmtId="0" fontId="23" fillId="0" borderId="0" xfId="2" applyFont="1" applyFill="1" applyAlignment="1">
      <alignment vertical="center"/>
    </xf>
    <xf numFmtId="0" fontId="23" fillId="0" borderId="0" xfId="0" applyFont="1" applyAlignment="1">
      <alignment vertical="center" wrapText="1"/>
    </xf>
    <xf numFmtId="0" fontId="22" fillId="0" borderId="1" xfId="0" applyFont="1" applyBorder="1" applyAlignment="1">
      <alignment horizontal="center" vertical="center"/>
    </xf>
    <xf numFmtId="0" fontId="22" fillId="0" borderId="0" xfId="0" applyFont="1" applyFill="1" applyAlignment="1">
      <alignment horizontal="center" vertical="center"/>
    </xf>
    <xf numFmtId="0" fontId="23" fillId="0" borderId="0" xfId="0" applyFont="1" applyAlignment="1">
      <alignment vertical="center"/>
    </xf>
    <xf numFmtId="0" fontId="22" fillId="0" borderId="0" xfId="0" applyFont="1" applyAlignment="1">
      <alignment horizontal="center" vertical="center"/>
    </xf>
    <xf numFmtId="0" fontId="12" fillId="0" borderId="0" xfId="0" applyFont="1" applyAlignment="1">
      <alignment horizontal="center" vertical="center"/>
    </xf>
    <xf numFmtId="0" fontId="23" fillId="0" borderId="0" xfId="0" applyFont="1" applyFill="1" applyAlignment="1">
      <alignment vertical="center" wrapText="1"/>
    </xf>
    <xf numFmtId="0" fontId="12" fillId="0" borderId="2" xfId="0" applyFont="1" applyFill="1" applyBorder="1" applyAlignment="1">
      <alignment horizontal="center" vertical="center"/>
    </xf>
    <xf numFmtId="0" fontId="22" fillId="0" borderId="0" xfId="1" applyFont="1" applyFill="1" applyBorder="1" applyAlignment="1">
      <alignment horizontal="center" vertical="center"/>
    </xf>
    <xf numFmtId="0" fontId="13" fillId="0" borderId="3" xfId="0" applyFont="1" applyFill="1" applyBorder="1" applyAlignment="1">
      <alignment horizontal="left" vertical="center" wrapText="1"/>
    </xf>
    <xf numFmtId="0" fontId="12" fillId="0" borderId="8" xfId="0" applyFont="1" applyFill="1" applyBorder="1" applyAlignment="1">
      <alignment horizontal="center" vertical="center"/>
    </xf>
    <xf numFmtId="0" fontId="23" fillId="0" borderId="0" xfId="0" applyFont="1" applyFill="1" applyBorder="1" applyAlignment="1">
      <alignment vertical="center"/>
    </xf>
    <xf numFmtId="0" fontId="18" fillId="0" borderId="0" xfId="0" applyFont="1" applyFill="1" applyAlignment="1">
      <alignment vertical="center" wrapText="1"/>
    </xf>
    <xf numFmtId="0" fontId="10" fillId="0" borderId="0" xfId="3"/>
    <xf numFmtId="0" fontId="23" fillId="0" borderId="0" xfId="1" applyFont="1" applyFill="1" applyBorder="1" applyAlignment="1">
      <alignment vertical="center"/>
    </xf>
    <xf numFmtId="0" fontId="1" fillId="2" borderId="1" xfId="0" applyFont="1" applyFill="1" applyBorder="1" applyAlignment="1">
      <alignment horizontal="center" vertical="center"/>
    </xf>
    <xf numFmtId="0" fontId="12" fillId="2" borderId="2" xfId="0" applyFont="1" applyFill="1" applyBorder="1" applyAlignment="1">
      <alignment horizontal="left" vertical="center"/>
    </xf>
    <xf numFmtId="0" fontId="12" fillId="2" borderId="3" xfId="0" applyFont="1" applyFill="1" applyBorder="1" applyAlignment="1">
      <alignment horizontal="left" vertical="center"/>
    </xf>
    <xf numFmtId="0" fontId="12" fillId="2" borderId="4" xfId="0" applyFont="1" applyFill="1" applyBorder="1" applyAlignment="1">
      <alignment horizontal="left" vertical="center"/>
    </xf>
    <xf numFmtId="0" fontId="12" fillId="2" borderId="1" xfId="0" applyFont="1" applyFill="1" applyBorder="1" applyAlignment="1">
      <alignment horizontal="left" vertical="center"/>
    </xf>
  </cellXfs>
  <cellStyles count="4">
    <cellStyle name="Check Cell" xfId="1" builtinId="23"/>
    <cellStyle name="Good" xfId="2" builtinId="26"/>
    <cellStyle name="Hyperlink" xfId="3"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LN@"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85"/>
  <sheetViews>
    <sheetView tabSelected="1" topLeftCell="A625" zoomScale="110" zoomScaleNormal="110" workbookViewId="0">
      <selection activeCell="B604" sqref="B604:B627"/>
    </sheetView>
  </sheetViews>
  <sheetFormatPr defaultColWidth="8.85546875" defaultRowHeight="12.75" x14ac:dyDescent="0.25"/>
  <cols>
    <col min="1" max="1" width="19.42578125" style="10" customWidth="1"/>
    <col min="2" max="2" width="72" style="10" customWidth="1"/>
    <col min="3" max="3" width="37.28515625" style="10" customWidth="1"/>
    <col min="4" max="4" width="9.28515625" style="10" bestFit="1" customWidth="1"/>
    <col min="5" max="5" width="6.28515625" style="3" bestFit="1" customWidth="1"/>
    <col min="6" max="6" width="10.42578125" style="3" customWidth="1"/>
    <col min="7" max="7" width="7.7109375" style="3" bestFit="1" customWidth="1"/>
    <col min="8" max="8" width="39.28515625" style="10" customWidth="1"/>
    <col min="9" max="9" width="20.7109375" style="10" customWidth="1"/>
    <col min="10" max="10" width="8.7109375" style="10" customWidth="1"/>
    <col min="11" max="16384" width="8.85546875" style="10"/>
  </cols>
  <sheetData>
    <row r="1" spans="1:9" x14ac:dyDescent="0.25">
      <c r="A1" s="120" t="s">
        <v>0</v>
      </c>
      <c r="B1" s="120" t="s">
        <v>1</v>
      </c>
      <c r="C1" s="120" t="s">
        <v>1</v>
      </c>
      <c r="D1" s="120" t="s">
        <v>1</v>
      </c>
      <c r="E1" s="120" t="s">
        <v>1</v>
      </c>
      <c r="F1" s="120" t="s">
        <v>1</v>
      </c>
      <c r="G1" s="120" t="s">
        <v>1</v>
      </c>
      <c r="H1" s="120" t="s">
        <v>1</v>
      </c>
      <c r="I1" s="120" t="s">
        <v>1</v>
      </c>
    </row>
    <row r="2" spans="1:9" x14ac:dyDescent="0.25">
      <c r="A2" s="121" t="s">
        <v>2</v>
      </c>
      <c r="B2" s="122" t="s">
        <v>3</v>
      </c>
      <c r="C2" s="122" t="s">
        <v>3</v>
      </c>
      <c r="D2" s="122" t="s">
        <v>3</v>
      </c>
      <c r="E2" s="122" t="s">
        <v>3</v>
      </c>
      <c r="F2" s="122" t="s">
        <v>3</v>
      </c>
      <c r="G2" s="122" t="s">
        <v>3</v>
      </c>
      <c r="H2" s="122" t="s">
        <v>3</v>
      </c>
      <c r="I2" s="123" t="s">
        <v>3</v>
      </c>
    </row>
    <row r="3" spans="1:9" x14ac:dyDescent="0.25">
      <c r="A3" s="51" t="s">
        <v>4</v>
      </c>
      <c r="B3" s="52" t="s">
        <v>5</v>
      </c>
      <c r="C3" s="52" t="s">
        <v>6</v>
      </c>
      <c r="D3" s="51" t="s">
        <v>7</v>
      </c>
      <c r="E3" s="51" t="s">
        <v>8</v>
      </c>
      <c r="F3" s="51" t="s">
        <v>9</v>
      </c>
      <c r="G3" s="51" t="s">
        <v>10</v>
      </c>
      <c r="H3" s="52" t="s">
        <v>11</v>
      </c>
      <c r="I3" s="51" t="s">
        <v>12</v>
      </c>
    </row>
    <row r="4" spans="1:9" s="3" customFormat="1" x14ac:dyDescent="0.25">
      <c r="A4" s="53" t="s">
        <v>13</v>
      </c>
      <c r="B4" s="9" t="s">
        <v>14</v>
      </c>
      <c r="C4" s="9" t="s">
        <v>15</v>
      </c>
      <c r="D4" s="54" t="s">
        <v>16</v>
      </c>
      <c r="E4" s="53">
        <v>10</v>
      </c>
      <c r="F4" s="53">
        <v>1</v>
      </c>
      <c r="G4" s="53">
        <v>10</v>
      </c>
      <c r="H4" s="55" t="s">
        <v>17</v>
      </c>
      <c r="I4" s="53" t="str">
        <f>A4</f>
        <v>Serial</v>
      </c>
    </row>
    <row r="5" spans="1:9" x14ac:dyDescent="0.25">
      <c r="A5" s="54" t="s">
        <v>18</v>
      </c>
      <c r="B5" s="9" t="s">
        <v>19</v>
      </c>
      <c r="C5" s="56" t="s">
        <v>20</v>
      </c>
      <c r="D5" s="54" t="s">
        <v>16</v>
      </c>
      <c r="E5" s="53">
        <v>6</v>
      </c>
      <c r="F5" s="53">
        <f>G4+1</f>
        <v>11</v>
      </c>
      <c r="G5" s="53">
        <f>G4+E5</f>
        <v>16</v>
      </c>
      <c r="H5" s="55" t="s">
        <v>17</v>
      </c>
      <c r="I5" s="54" t="s">
        <v>18</v>
      </c>
    </row>
    <row r="6" spans="1:9" x14ac:dyDescent="0.25">
      <c r="A6" s="54" t="s">
        <v>21</v>
      </c>
      <c r="B6" s="9" t="s">
        <v>22</v>
      </c>
      <c r="C6" s="56" t="s">
        <v>23</v>
      </c>
      <c r="D6" s="54" t="s">
        <v>16</v>
      </c>
      <c r="E6" s="53">
        <v>5</v>
      </c>
      <c r="F6" s="53">
        <f t="shared" ref="F6:F11" si="0">G5+1</f>
        <v>17</v>
      </c>
      <c r="G6" s="53">
        <f>G5+E6</f>
        <v>21</v>
      </c>
      <c r="H6" s="55" t="s">
        <v>17</v>
      </c>
      <c r="I6" s="54" t="s">
        <v>21</v>
      </c>
    </row>
    <row r="7" spans="1:9" x14ac:dyDescent="0.25">
      <c r="A7" s="54" t="s">
        <v>24</v>
      </c>
      <c r="B7" s="9" t="s">
        <v>25</v>
      </c>
      <c r="C7" s="56" t="s">
        <v>26</v>
      </c>
      <c r="D7" s="54" t="s">
        <v>16</v>
      </c>
      <c r="E7" s="53">
        <v>5</v>
      </c>
      <c r="F7" s="53">
        <f>G6+1</f>
        <v>22</v>
      </c>
      <c r="G7" s="53">
        <f>G6+E7</f>
        <v>26</v>
      </c>
      <c r="H7" s="55" t="s">
        <v>17</v>
      </c>
      <c r="I7" s="54" t="s">
        <v>24</v>
      </c>
    </row>
    <row r="8" spans="1:9" x14ac:dyDescent="0.25">
      <c r="A8" s="54" t="s">
        <v>27</v>
      </c>
      <c r="B8" s="9" t="s">
        <v>28</v>
      </c>
      <c r="C8" s="56" t="s">
        <v>29</v>
      </c>
      <c r="D8" s="54" t="s">
        <v>16</v>
      </c>
      <c r="E8" s="53">
        <v>5</v>
      </c>
      <c r="F8" s="53">
        <f>G7+1</f>
        <v>27</v>
      </c>
      <c r="G8" s="53">
        <f>G7+E8</f>
        <v>31</v>
      </c>
      <c r="H8" s="55" t="s">
        <v>17</v>
      </c>
      <c r="I8" s="54" t="s">
        <v>27</v>
      </c>
    </row>
    <row r="9" spans="1:9" s="3" customFormat="1" x14ac:dyDescent="0.25">
      <c r="A9" s="53" t="s">
        <v>30</v>
      </c>
      <c r="B9" s="57" t="s">
        <v>31</v>
      </c>
      <c r="C9" s="56" t="s">
        <v>32</v>
      </c>
      <c r="D9" s="54" t="s">
        <v>16</v>
      </c>
      <c r="E9" s="53">
        <v>5</v>
      </c>
      <c r="F9" s="53">
        <f t="shared" si="0"/>
        <v>32</v>
      </c>
      <c r="G9" s="53">
        <f t="shared" ref="G9:G13" si="1">G8+E9</f>
        <v>36</v>
      </c>
      <c r="H9" s="55" t="s">
        <v>17</v>
      </c>
      <c r="I9" s="53" t="s">
        <v>30</v>
      </c>
    </row>
    <row r="10" spans="1:9" x14ac:dyDescent="0.25">
      <c r="A10" s="54" t="s">
        <v>33</v>
      </c>
      <c r="B10" s="57" t="s">
        <v>34</v>
      </c>
      <c r="C10" s="9" t="s">
        <v>15</v>
      </c>
      <c r="D10" s="53" t="s">
        <v>16</v>
      </c>
      <c r="E10" s="53">
        <v>5</v>
      </c>
      <c r="F10" s="53">
        <f t="shared" si="0"/>
        <v>37</v>
      </c>
      <c r="G10" s="53">
        <f t="shared" si="1"/>
        <v>41</v>
      </c>
      <c r="H10" s="55" t="s">
        <v>17</v>
      </c>
      <c r="I10" s="54" t="s">
        <v>33</v>
      </c>
    </row>
    <row r="11" spans="1:9" ht="25.5" x14ac:dyDescent="0.25">
      <c r="A11" s="54" t="s">
        <v>35</v>
      </c>
      <c r="B11" s="9" t="s">
        <v>36</v>
      </c>
      <c r="C11" s="9" t="s">
        <v>37</v>
      </c>
      <c r="D11" s="54" t="s">
        <v>38</v>
      </c>
      <c r="E11" s="53">
        <v>1</v>
      </c>
      <c r="F11" s="53">
        <f t="shared" si="0"/>
        <v>42</v>
      </c>
      <c r="G11" s="53">
        <f t="shared" si="1"/>
        <v>42</v>
      </c>
      <c r="H11" s="55" t="s">
        <v>17</v>
      </c>
      <c r="I11" s="54" t="s">
        <v>35</v>
      </c>
    </row>
    <row r="12" spans="1:9" s="3" customFormat="1" ht="102" x14ac:dyDescent="0.25">
      <c r="A12" s="53" t="s">
        <v>39</v>
      </c>
      <c r="B12" s="57" t="str">
        <f>A12&amp;".Settlement Size"</f>
        <v>AA8.Settlement Size</v>
      </c>
      <c r="C12" s="57" t="s">
        <v>40</v>
      </c>
      <c r="D12" s="53" t="s">
        <v>16</v>
      </c>
      <c r="E12" s="53">
        <v>1</v>
      </c>
      <c r="F12" s="53">
        <f t="shared" ref="F12:F21" si="2">G11+1</f>
        <v>43</v>
      </c>
      <c r="G12" s="53">
        <f t="shared" si="1"/>
        <v>43</v>
      </c>
      <c r="H12" s="14" t="s">
        <v>17</v>
      </c>
      <c r="I12" s="54" t="s">
        <v>39</v>
      </c>
    </row>
    <row r="13" spans="1:9" x14ac:dyDescent="0.25">
      <c r="A13" s="54" t="s">
        <v>41</v>
      </c>
      <c r="B13" s="9" t="s">
        <v>42</v>
      </c>
      <c r="C13" s="58" t="s">
        <v>15</v>
      </c>
      <c r="D13" s="54" t="s">
        <v>16</v>
      </c>
      <c r="E13" s="53">
        <v>16</v>
      </c>
      <c r="F13" s="53">
        <f t="shared" si="2"/>
        <v>44</v>
      </c>
      <c r="G13" s="53">
        <f t="shared" si="1"/>
        <v>59</v>
      </c>
      <c r="H13" s="55" t="s">
        <v>17</v>
      </c>
      <c r="I13" s="54" t="s">
        <v>43</v>
      </c>
    </row>
    <row r="14" spans="1:9" x14ac:dyDescent="0.25">
      <c r="A14" s="54" t="s">
        <v>44</v>
      </c>
      <c r="B14" s="9" t="s">
        <v>45</v>
      </c>
      <c r="C14" s="58" t="s">
        <v>15</v>
      </c>
      <c r="D14" s="54" t="s">
        <v>16</v>
      </c>
      <c r="E14" s="53">
        <v>16</v>
      </c>
      <c r="F14" s="53">
        <f t="shared" si="2"/>
        <v>60</v>
      </c>
      <c r="G14" s="53">
        <f t="shared" ref="G14:G21" si="3">G13+E14</f>
        <v>75</v>
      </c>
      <c r="H14" s="55" t="s">
        <v>17</v>
      </c>
      <c r="I14" s="54" t="s">
        <v>46</v>
      </c>
    </row>
    <row r="15" spans="1:9" x14ac:dyDescent="0.25">
      <c r="A15" s="54" t="s">
        <v>47</v>
      </c>
      <c r="B15" s="9" t="s">
        <v>48</v>
      </c>
      <c r="C15" s="58" t="s">
        <v>15</v>
      </c>
      <c r="D15" s="54" t="s">
        <v>16</v>
      </c>
      <c r="E15" s="53">
        <v>15</v>
      </c>
      <c r="F15" s="53">
        <f t="shared" si="2"/>
        <v>76</v>
      </c>
      <c r="G15" s="53">
        <f t="shared" si="3"/>
        <v>90</v>
      </c>
      <c r="H15" s="55" t="s">
        <v>17</v>
      </c>
      <c r="I15" s="54" t="str">
        <f>A15</f>
        <v>AA10</v>
      </c>
    </row>
    <row r="16" spans="1:9" x14ac:dyDescent="0.25">
      <c r="A16" s="54" t="s">
        <v>49</v>
      </c>
      <c r="B16" s="9" t="str">
        <f>A16&amp;".Respondent Name"</f>
        <v>AA11.Respondent Name</v>
      </c>
      <c r="C16" s="58" t="s">
        <v>15</v>
      </c>
      <c r="D16" s="54" t="s">
        <v>50</v>
      </c>
      <c r="E16" s="53">
        <v>50</v>
      </c>
      <c r="F16" s="53">
        <f t="shared" si="2"/>
        <v>91</v>
      </c>
      <c r="G16" s="53">
        <f t="shared" si="3"/>
        <v>140</v>
      </c>
      <c r="H16" s="55" t="s">
        <v>17</v>
      </c>
      <c r="I16" s="54" t="str">
        <f>A16</f>
        <v>AA11</v>
      </c>
    </row>
    <row r="17" spans="1:9" s="3" customFormat="1" x14ac:dyDescent="0.25">
      <c r="A17" s="53" t="s">
        <v>51</v>
      </c>
      <c r="B17" s="57" t="s">
        <v>52</v>
      </c>
      <c r="C17" s="58" t="s">
        <v>15</v>
      </c>
      <c r="D17" s="53" t="s">
        <v>53</v>
      </c>
      <c r="E17" s="53">
        <v>6</v>
      </c>
      <c r="F17" s="53">
        <f t="shared" si="2"/>
        <v>141</v>
      </c>
      <c r="G17" s="53">
        <f t="shared" si="3"/>
        <v>146</v>
      </c>
      <c r="H17" s="14" t="s">
        <v>17</v>
      </c>
      <c r="I17" s="53" t="s">
        <v>51</v>
      </c>
    </row>
    <row r="18" spans="1:9" ht="89.25" x14ac:dyDescent="0.25">
      <c r="A18" s="54" t="s">
        <v>54</v>
      </c>
      <c r="B18" s="9" t="s">
        <v>55</v>
      </c>
      <c r="C18" s="9" t="s">
        <v>56</v>
      </c>
      <c r="D18" s="54" t="s">
        <v>38</v>
      </c>
      <c r="E18" s="53">
        <v>1</v>
      </c>
      <c r="F18" s="53">
        <f t="shared" si="2"/>
        <v>147</v>
      </c>
      <c r="G18" s="53">
        <f t="shared" si="3"/>
        <v>147</v>
      </c>
      <c r="H18" s="55" t="s">
        <v>17</v>
      </c>
      <c r="I18" s="54" t="s">
        <v>54</v>
      </c>
    </row>
    <row r="19" spans="1:9" x14ac:dyDescent="0.25">
      <c r="A19" s="54" t="s">
        <v>57</v>
      </c>
      <c r="B19" s="9" t="s">
        <v>58</v>
      </c>
      <c r="C19" s="58" t="s">
        <v>15</v>
      </c>
      <c r="D19" s="54" t="s">
        <v>53</v>
      </c>
      <c r="E19" s="53">
        <v>6</v>
      </c>
      <c r="F19" s="53">
        <f t="shared" si="2"/>
        <v>148</v>
      </c>
      <c r="G19" s="53">
        <f t="shared" si="3"/>
        <v>153</v>
      </c>
      <c r="H19" s="55" t="s">
        <v>17</v>
      </c>
      <c r="I19" s="54" t="s">
        <v>57</v>
      </c>
    </row>
    <row r="20" spans="1:9" x14ac:dyDescent="0.25">
      <c r="A20" s="54" t="s">
        <v>59</v>
      </c>
      <c r="B20" s="9" t="s">
        <v>60</v>
      </c>
      <c r="C20" s="58" t="s">
        <v>15</v>
      </c>
      <c r="D20" s="54" t="s">
        <v>53</v>
      </c>
      <c r="E20" s="53">
        <v>5</v>
      </c>
      <c r="F20" s="53">
        <f t="shared" si="2"/>
        <v>154</v>
      </c>
      <c r="G20" s="53">
        <f t="shared" si="3"/>
        <v>158</v>
      </c>
      <c r="H20" s="55" t="s">
        <v>17</v>
      </c>
      <c r="I20" s="54" t="s">
        <v>59</v>
      </c>
    </row>
    <row r="21" spans="1:9" x14ac:dyDescent="0.25">
      <c r="A21" s="54" t="s">
        <v>61</v>
      </c>
      <c r="B21" s="9" t="s">
        <v>62</v>
      </c>
      <c r="C21" s="58" t="s">
        <v>15</v>
      </c>
      <c r="D21" s="54" t="s">
        <v>53</v>
      </c>
      <c r="E21" s="53">
        <v>5</v>
      </c>
      <c r="F21" s="53">
        <f t="shared" si="2"/>
        <v>159</v>
      </c>
      <c r="G21" s="53">
        <f t="shared" si="3"/>
        <v>163</v>
      </c>
      <c r="H21" s="55" t="s">
        <v>17</v>
      </c>
      <c r="I21" s="54" t="s">
        <v>61</v>
      </c>
    </row>
    <row r="22" spans="1:9" x14ac:dyDescent="0.25">
      <c r="A22" s="54" t="s">
        <v>63</v>
      </c>
      <c r="B22" s="9" t="s">
        <v>64</v>
      </c>
      <c r="C22" s="58" t="s">
        <v>15</v>
      </c>
      <c r="D22" s="54" t="s">
        <v>16</v>
      </c>
      <c r="E22" s="53">
        <v>4</v>
      </c>
      <c r="F22" s="53">
        <f t="shared" ref="F22:F25" si="4">G21+1</f>
        <v>164</v>
      </c>
      <c r="G22" s="53">
        <f t="shared" ref="G22:G26" si="5">G21+E22</f>
        <v>167</v>
      </c>
      <c r="H22" s="55" t="s">
        <v>17</v>
      </c>
      <c r="I22" s="54" t="s">
        <v>65</v>
      </c>
    </row>
    <row r="23" spans="1:9" x14ac:dyDescent="0.25">
      <c r="A23" s="54" t="s">
        <v>66</v>
      </c>
      <c r="B23" s="9" t="s">
        <v>67</v>
      </c>
      <c r="C23" s="58" t="s">
        <v>15</v>
      </c>
      <c r="D23" s="53" t="s">
        <v>50</v>
      </c>
      <c r="E23" s="53">
        <v>50</v>
      </c>
      <c r="F23" s="53">
        <f t="shared" si="4"/>
        <v>168</v>
      </c>
      <c r="G23" s="53">
        <f t="shared" si="5"/>
        <v>217</v>
      </c>
      <c r="H23" s="55" t="s">
        <v>17</v>
      </c>
      <c r="I23" s="54" t="s">
        <v>68</v>
      </c>
    </row>
    <row r="24" spans="1:9" x14ac:dyDescent="0.25">
      <c r="A24" s="54" t="s">
        <v>69</v>
      </c>
      <c r="B24" s="9" t="s">
        <v>70</v>
      </c>
      <c r="C24" s="58" t="s">
        <v>15</v>
      </c>
      <c r="D24" s="54" t="s">
        <v>16</v>
      </c>
      <c r="E24" s="53">
        <v>4</v>
      </c>
      <c r="F24" s="53">
        <f t="shared" si="4"/>
        <v>218</v>
      </c>
      <c r="G24" s="53">
        <f t="shared" si="5"/>
        <v>221</v>
      </c>
      <c r="H24" s="55" t="s">
        <v>17</v>
      </c>
      <c r="I24" s="54" t="s">
        <v>71</v>
      </c>
    </row>
    <row r="25" spans="1:9" x14ac:dyDescent="0.25">
      <c r="A25" s="54" t="s">
        <v>72</v>
      </c>
      <c r="B25" s="9" t="s">
        <v>73</v>
      </c>
      <c r="C25" s="58" t="s">
        <v>15</v>
      </c>
      <c r="D25" s="53" t="s">
        <v>50</v>
      </c>
      <c r="E25" s="53">
        <v>50</v>
      </c>
      <c r="F25" s="53">
        <f t="shared" si="4"/>
        <v>222</v>
      </c>
      <c r="G25" s="53">
        <f t="shared" si="5"/>
        <v>271</v>
      </c>
      <c r="H25" s="55" t="s">
        <v>17</v>
      </c>
      <c r="I25" s="54" t="s">
        <v>74</v>
      </c>
    </row>
    <row r="26" spans="1:9" ht="25.5" x14ac:dyDescent="0.25">
      <c r="A26" s="54" t="s">
        <v>75</v>
      </c>
      <c r="B26" s="9" t="s">
        <v>76</v>
      </c>
      <c r="C26" s="9" t="s">
        <v>77</v>
      </c>
      <c r="D26" s="54" t="s">
        <v>38</v>
      </c>
      <c r="E26" s="53">
        <v>1</v>
      </c>
      <c r="F26" s="53">
        <f>G25+1</f>
        <v>272</v>
      </c>
      <c r="G26" s="53">
        <f t="shared" si="5"/>
        <v>272</v>
      </c>
      <c r="H26" s="55" t="s">
        <v>17</v>
      </c>
      <c r="I26" s="54" t="s">
        <v>75</v>
      </c>
    </row>
    <row r="27" spans="1:9" x14ac:dyDescent="0.25">
      <c r="A27" s="124" t="s">
        <v>78</v>
      </c>
      <c r="B27" s="124" t="s">
        <v>79</v>
      </c>
      <c r="C27" s="124" t="s">
        <v>79</v>
      </c>
      <c r="D27" s="124" t="s">
        <v>79</v>
      </c>
      <c r="E27" s="124" t="s">
        <v>79</v>
      </c>
      <c r="F27" s="124" t="s">
        <v>79</v>
      </c>
      <c r="G27" s="124" t="s">
        <v>79</v>
      </c>
      <c r="H27" s="124" t="s">
        <v>79</v>
      </c>
      <c r="I27" s="124" t="s">
        <v>79</v>
      </c>
    </row>
    <row r="28" spans="1:9" ht="15" customHeight="1" x14ac:dyDescent="0.25">
      <c r="A28" s="124" t="s">
        <v>80</v>
      </c>
      <c r="B28" s="124"/>
      <c r="C28" s="124"/>
      <c r="D28" s="124"/>
      <c r="E28" s="124"/>
      <c r="F28" s="124"/>
      <c r="G28" s="124"/>
      <c r="H28" s="124"/>
      <c r="I28" s="124"/>
    </row>
    <row r="29" spans="1:9" x14ac:dyDescent="0.25">
      <c r="A29" s="51" t="s">
        <v>4</v>
      </c>
      <c r="B29" s="52" t="s">
        <v>5</v>
      </c>
      <c r="C29" s="52" t="s">
        <v>6</v>
      </c>
      <c r="D29" s="51" t="s">
        <v>7</v>
      </c>
      <c r="E29" s="51" t="s">
        <v>8</v>
      </c>
      <c r="F29" s="51" t="s">
        <v>9</v>
      </c>
      <c r="G29" s="51" t="s">
        <v>10</v>
      </c>
      <c r="H29" s="52" t="s">
        <v>11</v>
      </c>
      <c r="I29" s="51" t="s">
        <v>12</v>
      </c>
    </row>
    <row r="30" spans="1:9" ht="25.5" x14ac:dyDescent="0.25">
      <c r="A30" s="54" t="s">
        <v>81</v>
      </c>
      <c r="B30" s="9" t="s">
        <v>82</v>
      </c>
      <c r="C30" s="9" t="s">
        <v>83</v>
      </c>
      <c r="D30" s="54" t="s">
        <v>16</v>
      </c>
      <c r="E30" s="53">
        <v>4</v>
      </c>
      <c r="F30" s="53">
        <f>G26+1</f>
        <v>273</v>
      </c>
      <c r="G30" s="53">
        <f>G26+E30</f>
        <v>276</v>
      </c>
      <c r="H30" s="55" t="s">
        <v>17</v>
      </c>
      <c r="I30" s="54" t="s">
        <v>81</v>
      </c>
    </row>
    <row r="31" spans="1:9" ht="25.5" x14ac:dyDescent="0.25">
      <c r="A31" s="54" t="s">
        <v>84</v>
      </c>
      <c r="B31" s="9" t="s">
        <v>85</v>
      </c>
      <c r="C31" s="9" t="s">
        <v>77</v>
      </c>
      <c r="D31" s="54" t="s">
        <v>38</v>
      </c>
      <c r="E31" s="53">
        <v>1</v>
      </c>
      <c r="F31" s="53">
        <f>G30+1</f>
        <v>277</v>
      </c>
      <c r="G31" s="53">
        <f>G30+E31</f>
        <v>277</v>
      </c>
      <c r="H31" s="55" t="s">
        <v>17</v>
      </c>
      <c r="I31" s="54" t="s">
        <v>84</v>
      </c>
    </row>
    <row r="32" spans="1:9" ht="102" x14ac:dyDescent="0.25">
      <c r="A32" s="54" t="s">
        <v>86</v>
      </c>
      <c r="B32" s="9" t="s">
        <v>87</v>
      </c>
      <c r="C32" s="9" t="s">
        <v>2315</v>
      </c>
      <c r="D32" s="53" t="s">
        <v>38</v>
      </c>
      <c r="E32" s="53">
        <v>2</v>
      </c>
      <c r="F32" s="53">
        <f>G31+1</f>
        <v>278</v>
      </c>
      <c r="G32" s="53">
        <f>G31+E32</f>
        <v>279</v>
      </c>
      <c r="H32" s="55" t="s">
        <v>17</v>
      </c>
      <c r="I32" s="54" t="s">
        <v>86</v>
      </c>
    </row>
    <row r="33" spans="1:9" x14ac:dyDescent="0.25">
      <c r="A33" s="54" t="s">
        <v>88</v>
      </c>
      <c r="B33" s="9" t="s">
        <v>89</v>
      </c>
      <c r="C33" s="59" t="s">
        <v>90</v>
      </c>
      <c r="D33" s="53" t="s">
        <v>38</v>
      </c>
      <c r="E33" s="53">
        <v>2</v>
      </c>
      <c r="F33" s="53">
        <f>G32+1</f>
        <v>280</v>
      </c>
      <c r="G33" s="53">
        <f>G32+E33</f>
        <v>281</v>
      </c>
      <c r="H33" s="55" t="s">
        <v>17</v>
      </c>
      <c r="I33" s="54" t="s">
        <v>88</v>
      </c>
    </row>
    <row r="34" spans="1:9" ht="25.5" x14ac:dyDescent="0.25">
      <c r="A34" s="54" t="s">
        <v>91</v>
      </c>
      <c r="B34" s="9" t="str">
        <f>A34&amp;".Do you have any of the following type of official identification? "&amp;Other!A2</f>
        <v>DG5.1.Do you have any of the following type of official identification? National ID</v>
      </c>
      <c r="C34" s="9" t="s">
        <v>92</v>
      </c>
      <c r="D34" s="53" t="s">
        <v>38</v>
      </c>
      <c r="E34" s="53">
        <v>1</v>
      </c>
      <c r="F34" s="53">
        <f t="shared" ref="F34:F72" si="6">G33+1</f>
        <v>282</v>
      </c>
      <c r="G34" s="53">
        <f t="shared" ref="G34:G40" si="7">G33+E34</f>
        <v>282</v>
      </c>
      <c r="H34" s="55" t="s">
        <v>17</v>
      </c>
      <c r="I34" s="54" t="str">
        <f>LEFT(A34,3)&amp;"_"&amp;RIGHT(A34,1)</f>
        <v>DG5_1</v>
      </c>
    </row>
    <row r="35" spans="1:9" ht="25.5" x14ac:dyDescent="0.25">
      <c r="A35" s="54" t="s">
        <v>93</v>
      </c>
      <c r="B35" s="9" t="str">
        <f>A35&amp;".Do you have any of the following type of official identification? "&amp;Other!A3</f>
        <v>DG5.2.Do you have any of the following type of official identification? Family Card</v>
      </c>
      <c r="C35" s="9" t="s">
        <v>92</v>
      </c>
      <c r="D35" s="53" t="s">
        <v>38</v>
      </c>
      <c r="E35" s="53">
        <v>1</v>
      </c>
      <c r="F35" s="53">
        <f t="shared" si="6"/>
        <v>283</v>
      </c>
      <c r="G35" s="53">
        <f t="shared" si="7"/>
        <v>283</v>
      </c>
      <c r="H35" s="55" t="s">
        <v>17</v>
      </c>
      <c r="I35" s="54" t="str">
        <f t="shared" ref="I35:I42" si="8">LEFT(A35,3)&amp;"_"&amp;RIGHT(A35,1)</f>
        <v>DG5_2</v>
      </c>
    </row>
    <row r="36" spans="1:9" ht="25.5" x14ac:dyDescent="0.25">
      <c r="A36" s="54" t="s">
        <v>94</v>
      </c>
      <c r="B36" s="9" t="str">
        <f>A36&amp;".Do you have any of the following type of official identification? "&amp;Other!A4</f>
        <v>DG5.3.Do you have any of the following type of official identification? Passport</v>
      </c>
      <c r="C36" s="9" t="s">
        <v>92</v>
      </c>
      <c r="D36" s="53" t="s">
        <v>38</v>
      </c>
      <c r="E36" s="53">
        <v>1</v>
      </c>
      <c r="F36" s="53">
        <f t="shared" si="6"/>
        <v>284</v>
      </c>
      <c r="G36" s="53">
        <f t="shared" si="7"/>
        <v>284</v>
      </c>
      <c r="H36" s="55" t="s">
        <v>17</v>
      </c>
      <c r="I36" s="54" t="str">
        <f t="shared" si="8"/>
        <v>DG5_3</v>
      </c>
    </row>
    <row r="37" spans="1:9" ht="25.5" x14ac:dyDescent="0.25">
      <c r="A37" s="54" t="s">
        <v>95</v>
      </c>
      <c r="B37" s="9" t="str">
        <f>A37&amp;".Do you have any of the following type of official identification? "&amp;Other!A5</f>
        <v>DG5.4.Do you have any of the following type of official identification? Driver’s license</v>
      </c>
      <c r="C37" s="9" t="s">
        <v>92</v>
      </c>
      <c r="D37" s="53" t="s">
        <v>38</v>
      </c>
      <c r="E37" s="53">
        <v>1</v>
      </c>
      <c r="F37" s="53">
        <f t="shared" si="6"/>
        <v>285</v>
      </c>
      <c r="G37" s="53">
        <f t="shared" si="7"/>
        <v>285</v>
      </c>
      <c r="H37" s="55" t="s">
        <v>17</v>
      </c>
      <c r="I37" s="54" t="str">
        <f t="shared" si="8"/>
        <v>DG5_4</v>
      </c>
    </row>
    <row r="38" spans="1:9" ht="25.5" x14ac:dyDescent="0.25">
      <c r="A38" s="54" t="s">
        <v>96</v>
      </c>
      <c r="B38" s="9" t="str">
        <f>A38&amp;".Do you have any of the following type of official identification? "&amp;Other!A6</f>
        <v>DG5.5.Do you have any of the following type of official identification? School-issued ID</v>
      </c>
      <c r="C38" s="9" t="s">
        <v>92</v>
      </c>
      <c r="D38" s="53" t="s">
        <v>38</v>
      </c>
      <c r="E38" s="53">
        <v>1</v>
      </c>
      <c r="F38" s="53">
        <f t="shared" si="6"/>
        <v>286</v>
      </c>
      <c r="G38" s="53">
        <f t="shared" si="7"/>
        <v>286</v>
      </c>
      <c r="H38" s="55" t="s">
        <v>17</v>
      </c>
      <c r="I38" s="54" t="str">
        <f t="shared" si="8"/>
        <v>DG5_5</v>
      </c>
    </row>
    <row r="39" spans="1:9" ht="25.5" x14ac:dyDescent="0.25">
      <c r="A39" s="54" t="s">
        <v>97</v>
      </c>
      <c r="B39" s="9" t="str">
        <f>A39&amp;".Do you have any of the following type of official identification? "&amp;Other!A7</f>
        <v>DG5.6.Do you have any of the following type of official identification? KPS card</v>
      </c>
      <c r="C39" s="9" t="s">
        <v>92</v>
      </c>
      <c r="D39" s="53" t="s">
        <v>38</v>
      </c>
      <c r="E39" s="53">
        <v>1</v>
      </c>
      <c r="F39" s="53">
        <f t="shared" si="6"/>
        <v>287</v>
      </c>
      <c r="G39" s="53">
        <f t="shared" si="7"/>
        <v>287</v>
      </c>
      <c r="H39" s="55" t="s">
        <v>17</v>
      </c>
      <c r="I39" s="54" t="str">
        <f t="shared" si="8"/>
        <v>DG5_6</v>
      </c>
    </row>
    <row r="40" spans="1:9" ht="25.5" x14ac:dyDescent="0.25">
      <c r="A40" s="54" t="s">
        <v>98</v>
      </c>
      <c r="B40" s="9" t="str">
        <f>A40&amp;".Do you have any of the following type of official identification? "&amp;Other!A8</f>
        <v>DG5.7.Do you have any of the following type of official identification? BLT card</v>
      </c>
      <c r="C40" s="9" t="s">
        <v>92</v>
      </c>
      <c r="D40" s="53" t="s">
        <v>38</v>
      </c>
      <c r="E40" s="53">
        <v>1</v>
      </c>
      <c r="F40" s="53">
        <f t="shared" si="6"/>
        <v>288</v>
      </c>
      <c r="G40" s="53">
        <f t="shared" si="7"/>
        <v>288</v>
      </c>
      <c r="H40" s="55" t="s">
        <v>17</v>
      </c>
      <c r="I40" s="54" t="str">
        <f t="shared" si="8"/>
        <v>DG5_7</v>
      </c>
    </row>
    <row r="41" spans="1:9" ht="25.5" x14ac:dyDescent="0.25">
      <c r="A41" s="54" t="s">
        <v>99</v>
      </c>
      <c r="B41" s="9" t="str">
        <f>A41&amp;".Do you have any of the following type of official identification? "&amp;Other!A9</f>
        <v>DG5.8.Do you have any of the following type of official identification? PKH card</v>
      </c>
      <c r="C41" s="9" t="s">
        <v>92</v>
      </c>
      <c r="D41" s="53" t="s">
        <v>38</v>
      </c>
      <c r="E41" s="53">
        <v>1</v>
      </c>
      <c r="F41" s="53">
        <f>G40+1</f>
        <v>289</v>
      </c>
      <c r="G41" s="53">
        <f>G40+E41</f>
        <v>289</v>
      </c>
      <c r="H41" s="55" t="s">
        <v>17</v>
      </c>
      <c r="I41" s="54" t="str">
        <f t="shared" si="8"/>
        <v>DG5_8</v>
      </c>
    </row>
    <row r="42" spans="1:9" ht="25.5" x14ac:dyDescent="0.25">
      <c r="A42" s="54" t="s">
        <v>100</v>
      </c>
      <c r="B42" s="9" t="str">
        <f>A42&amp;".Do you have any of the following type of official identification? "&amp;Other!A10</f>
        <v>DG5.9.Do you have any of the following type of official identification? Health insurance Card BPJS</v>
      </c>
      <c r="C42" s="9" t="s">
        <v>92</v>
      </c>
      <c r="D42" s="53" t="s">
        <v>38</v>
      </c>
      <c r="E42" s="53">
        <v>1</v>
      </c>
      <c r="F42" s="53">
        <f t="shared" si="6"/>
        <v>290</v>
      </c>
      <c r="G42" s="53">
        <f>G41+E42</f>
        <v>290</v>
      </c>
      <c r="H42" s="55" t="s">
        <v>17</v>
      </c>
      <c r="I42" s="54" t="str">
        <f t="shared" si="8"/>
        <v>DG5_9</v>
      </c>
    </row>
    <row r="43" spans="1:9" ht="25.5" x14ac:dyDescent="0.25">
      <c r="A43" s="54" t="s">
        <v>101</v>
      </c>
      <c r="B43" s="9" t="str">
        <f>A43&amp;".Do you have any of the following type of official identification? "&amp;Other!A11</f>
        <v>DG5.10.Do you have any of the following type of official identification? Jamsostek card</v>
      </c>
      <c r="C43" s="9" t="s">
        <v>92</v>
      </c>
      <c r="D43" s="53" t="s">
        <v>38</v>
      </c>
      <c r="E43" s="53">
        <v>1</v>
      </c>
      <c r="F43" s="53">
        <f t="shared" si="6"/>
        <v>291</v>
      </c>
      <c r="G43" s="53">
        <f>G42+E43</f>
        <v>291</v>
      </c>
      <c r="H43" s="55" t="s">
        <v>17</v>
      </c>
      <c r="I43" s="54" t="str">
        <f t="shared" ref="I43:I52" si="9">LEFT(A43,3)&amp;"_"&amp;RIGHT(A43,2)</f>
        <v>DG5_10</v>
      </c>
    </row>
    <row r="44" spans="1:9" ht="25.5" x14ac:dyDescent="0.25">
      <c r="A44" s="54" t="s">
        <v>102</v>
      </c>
      <c r="B44" s="9" t="str">
        <f>A44&amp;".Do you have any of the following type of official identification? "&amp;Other!A12</f>
        <v>DG5.11.Do you have any of the following type of official identification? Tax Card</v>
      </c>
      <c r="C44" s="9" t="s">
        <v>92</v>
      </c>
      <c r="D44" s="53" t="s">
        <v>38</v>
      </c>
      <c r="E44" s="53">
        <v>1</v>
      </c>
      <c r="F44" s="53">
        <f>G43+1</f>
        <v>292</v>
      </c>
      <c r="G44" s="53">
        <f>G43+E44</f>
        <v>292</v>
      </c>
      <c r="H44" s="55" t="s">
        <v>17</v>
      </c>
      <c r="I44" s="54" t="str">
        <f t="shared" si="9"/>
        <v>DG5_11</v>
      </c>
    </row>
    <row r="45" spans="1:9" ht="25.5" x14ac:dyDescent="0.25">
      <c r="A45" s="54" t="s">
        <v>103</v>
      </c>
      <c r="B45" s="9" t="str">
        <f>A45&amp;".Do you have any of the following type of official identification? "&amp;Other!A13</f>
        <v xml:space="preserve">DG5.12.Do you have any of the following type of official identification? Employee ID (For Government / Civil Servants) </v>
      </c>
      <c r="C45" s="9" t="s">
        <v>92</v>
      </c>
      <c r="D45" s="53" t="s">
        <v>38</v>
      </c>
      <c r="E45" s="53">
        <v>1</v>
      </c>
      <c r="F45" s="53">
        <f t="shared" ref="F45:F51" si="10">G44+1</f>
        <v>293</v>
      </c>
      <c r="G45" s="53">
        <f t="shared" ref="G45:G51" si="11">G44+E45</f>
        <v>293</v>
      </c>
      <c r="H45" s="55" t="s">
        <v>17</v>
      </c>
      <c r="I45" s="54" t="str">
        <f t="shared" si="9"/>
        <v>DG5_12</v>
      </c>
    </row>
    <row r="46" spans="1:9" ht="25.5" x14ac:dyDescent="0.25">
      <c r="A46" s="54" t="s">
        <v>104</v>
      </c>
      <c r="B46" s="9" t="str">
        <f>A46&amp;".Do you have any of the following type of official identification? "&amp;Other!A14</f>
        <v>DG5.13.Do you have any of the following type of official identification? Voter’s card/Voter ID</v>
      </c>
      <c r="C46" s="9" t="s">
        <v>92</v>
      </c>
      <c r="D46" s="53" t="s">
        <v>38</v>
      </c>
      <c r="E46" s="53">
        <v>1</v>
      </c>
      <c r="F46" s="53">
        <f t="shared" si="10"/>
        <v>294</v>
      </c>
      <c r="G46" s="53">
        <f t="shared" si="11"/>
        <v>294</v>
      </c>
      <c r="H46" s="55" t="s">
        <v>17</v>
      </c>
      <c r="I46" s="54" t="str">
        <f t="shared" si="9"/>
        <v>DG5_13</v>
      </c>
    </row>
    <row r="47" spans="1:9" ht="25.5" x14ac:dyDescent="0.25">
      <c r="A47" s="54" t="s">
        <v>105</v>
      </c>
      <c r="B47" s="9" t="str">
        <f>A47&amp;".Do you have any of the following type of official identification? "&amp;Other!A15</f>
        <v>DG5.14.Do you have any of the following type of official identification? Military ID</v>
      </c>
      <c r="C47" s="9" t="s">
        <v>92</v>
      </c>
      <c r="D47" s="53" t="s">
        <v>38</v>
      </c>
      <c r="E47" s="53">
        <v>1</v>
      </c>
      <c r="F47" s="53">
        <f t="shared" si="10"/>
        <v>295</v>
      </c>
      <c r="G47" s="53">
        <f t="shared" si="11"/>
        <v>295</v>
      </c>
      <c r="H47" s="55" t="s">
        <v>17</v>
      </c>
      <c r="I47" s="54" t="str">
        <f t="shared" si="9"/>
        <v>DG5_14</v>
      </c>
    </row>
    <row r="48" spans="1:9" ht="25.5" x14ac:dyDescent="0.25">
      <c r="A48" s="54" t="s">
        <v>106</v>
      </c>
      <c r="B48" s="9" t="str">
        <f>A48&amp;".Do you have any of the following type of official identification? "&amp;Other!A16</f>
        <v>DG5.15.Do you have any of the following type of official identification? Birth Certificate</v>
      </c>
      <c r="C48" s="9" t="s">
        <v>92</v>
      </c>
      <c r="D48" s="53" t="s">
        <v>38</v>
      </c>
      <c r="E48" s="53">
        <v>1</v>
      </c>
      <c r="F48" s="53">
        <f t="shared" si="10"/>
        <v>296</v>
      </c>
      <c r="G48" s="53">
        <f t="shared" si="11"/>
        <v>296</v>
      </c>
      <c r="H48" s="55" t="s">
        <v>17</v>
      </c>
      <c r="I48" s="54" t="str">
        <f t="shared" si="9"/>
        <v>DG5_15</v>
      </c>
    </row>
    <row r="49" spans="1:9" ht="25.5" x14ac:dyDescent="0.25">
      <c r="A49" s="54" t="s">
        <v>107</v>
      </c>
      <c r="B49" s="9" t="str">
        <f>A49&amp;".Do you have any of the following type of official identification? "&amp;Other!A17</f>
        <v>DG5.16.Do you have any of the following type of official identification? Health card</v>
      </c>
      <c r="C49" s="9" t="s">
        <v>92</v>
      </c>
      <c r="D49" s="53" t="s">
        <v>38</v>
      </c>
      <c r="E49" s="53">
        <v>1</v>
      </c>
      <c r="F49" s="53">
        <f t="shared" si="10"/>
        <v>297</v>
      </c>
      <c r="G49" s="53">
        <f t="shared" si="11"/>
        <v>297</v>
      </c>
      <c r="H49" s="55" t="s">
        <v>17</v>
      </c>
      <c r="I49" s="54" t="str">
        <f t="shared" si="9"/>
        <v>DG5_16</v>
      </c>
    </row>
    <row r="50" spans="1:9" ht="25.5" x14ac:dyDescent="0.25">
      <c r="A50" s="54" t="s">
        <v>108</v>
      </c>
      <c r="B50" s="9" t="str">
        <f>A50&amp;".Do you have any of the following type of official identification? "&amp;Other!A18</f>
        <v>DG5.17.Do you have any of the following type of official identification? Smart card</v>
      </c>
      <c r="C50" s="9" t="s">
        <v>92</v>
      </c>
      <c r="D50" s="53" t="s">
        <v>38</v>
      </c>
      <c r="E50" s="53">
        <v>1</v>
      </c>
      <c r="F50" s="53">
        <f t="shared" si="10"/>
        <v>298</v>
      </c>
      <c r="G50" s="53">
        <f t="shared" si="11"/>
        <v>298</v>
      </c>
      <c r="H50" s="55" t="s">
        <v>17</v>
      </c>
      <c r="I50" s="54" t="str">
        <f t="shared" si="9"/>
        <v>DG5_17</v>
      </c>
    </row>
    <row r="51" spans="1:9" ht="25.5" x14ac:dyDescent="0.25">
      <c r="A51" s="54" t="s">
        <v>109</v>
      </c>
      <c r="B51" s="9" t="str">
        <f>A51&amp;".Do you have any of the following type of official identification? "&amp;Other!A19</f>
        <v>DG5.96.Do you have any of the following type of official identification? Other (Specify)</v>
      </c>
      <c r="C51" s="9" t="s">
        <v>92</v>
      </c>
      <c r="D51" s="53" t="s">
        <v>38</v>
      </c>
      <c r="E51" s="53">
        <v>1</v>
      </c>
      <c r="F51" s="53">
        <f t="shared" si="10"/>
        <v>299</v>
      </c>
      <c r="G51" s="53">
        <f t="shared" si="11"/>
        <v>299</v>
      </c>
      <c r="H51" s="55" t="s">
        <v>17</v>
      </c>
      <c r="I51" s="54" t="str">
        <f t="shared" si="9"/>
        <v>DG5_96</v>
      </c>
    </row>
    <row r="52" spans="1:9" ht="25.5" x14ac:dyDescent="0.25">
      <c r="A52" s="54" t="s">
        <v>110</v>
      </c>
      <c r="B52" s="9" t="str">
        <f>A52&amp;".Do you have any of the following type of official identification? "&amp;Other!A20</f>
        <v>DG5.19.Do you have any of the following type of official identification? None</v>
      </c>
      <c r="C52" s="9" t="s">
        <v>92</v>
      </c>
      <c r="D52" s="53" t="s">
        <v>38</v>
      </c>
      <c r="E52" s="53">
        <v>1</v>
      </c>
      <c r="F52" s="53">
        <f>G51+1</f>
        <v>300</v>
      </c>
      <c r="G52" s="53">
        <f t="shared" ref="G52:G58" si="12">G51+E52</f>
        <v>300</v>
      </c>
      <c r="H52" s="55" t="s">
        <v>17</v>
      </c>
      <c r="I52" s="54" t="str">
        <f t="shared" si="9"/>
        <v>DG5_19</v>
      </c>
    </row>
    <row r="53" spans="1:9" ht="127.5" x14ac:dyDescent="0.25">
      <c r="A53" s="53" t="s">
        <v>111</v>
      </c>
      <c r="B53" s="9" t="s">
        <v>112</v>
      </c>
      <c r="C53" s="9" t="s">
        <v>113</v>
      </c>
      <c r="D53" s="53" t="s">
        <v>38</v>
      </c>
      <c r="E53" s="53">
        <v>2</v>
      </c>
      <c r="F53" s="53">
        <f t="shared" si="6"/>
        <v>301</v>
      </c>
      <c r="G53" s="53">
        <f t="shared" si="12"/>
        <v>302</v>
      </c>
      <c r="H53" s="55" t="s">
        <v>17</v>
      </c>
      <c r="I53" s="54" t="s">
        <v>111</v>
      </c>
    </row>
    <row r="54" spans="1:9" ht="25.5" x14ac:dyDescent="0.25">
      <c r="A54" s="53" t="s">
        <v>114</v>
      </c>
      <c r="B54" s="9" t="str">
        <f>A54&amp;".How many adults and children do you have in the household? (99 for DK)"&amp;": Number of adults"</f>
        <v>DG8.A.How many adults and children do you have in the household? (99 for DK): Number of adults</v>
      </c>
      <c r="C54" s="9" t="s">
        <v>83</v>
      </c>
      <c r="D54" s="53" t="s">
        <v>16</v>
      </c>
      <c r="E54" s="53">
        <v>2</v>
      </c>
      <c r="F54" s="53">
        <f t="shared" si="6"/>
        <v>303</v>
      </c>
      <c r="G54" s="53">
        <f t="shared" si="12"/>
        <v>304</v>
      </c>
      <c r="H54" s="55" t="s">
        <v>17</v>
      </c>
      <c r="I54" s="54" t="s">
        <v>115</v>
      </c>
    </row>
    <row r="55" spans="1:9" ht="25.5" x14ac:dyDescent="0.25">
      <c r="A55" s="53" t="s">
        <v>116</v>
      </c>
      <c r="B55" s="9" t="str">
        <f>A55&amp;".How many adults and children do you have in the household? (99 for DK)"&amp;": Number of children (boys) "</f>
        <v xml:space="preserve">DG8.B.How many adults and children do you have in the household? (99 for DK): Number of children (boys) </v>
      </c>
      <c r="C55" s="9" t="s">
        <v>83</v>
      </c>
      <c r="D55" s="53" t="s">
        <v>16</v>
      </c>
      <c r="E55" s="53">
        <v>2</v>
      </c>
      <c r="F55" s="53">
        <f>G54+1</f>
        <v>305</v>
      </c>
      <c r="G55" s="53">
        <f t="shared" si="12"/>
        <v>306</v>
      </c>
      <c r="H55" s="55" t="s">
        <v>17</v>
      </c>
      <c r="I55" s="54" t="s">
        <v>117</v>
      </c>
    </row>
    <row r="56" spans="1:9" ht="25.5" x14ac:dyDescent="0.25">
      <c r="A56" s="53" t="s">
        <v>118</v>
      </c>
      <c r="B56" s="9" t="str">
        <f>A56&amp;".How many adults and children do you have in the household? (99 for DK)"&amp;": Number of children (girls)"</f>
        <v>DG8.C.How many adults and children do you have in the household? (99 for DK): Number of children (girls)</v>
      </c>
      <c r="C56" s="9" t="s">
        <v>83</v>
      </c>
      <c r="D56" s="53" t="s">
        <v>16</v>
      </c>
      <c r="E56" s="53">
        <v>2</v>
      </c>
      <c r="F56" s="53">
        <f>G55+1</f>
        <v>307</v>
      </c>
      <c r="G56" s="53">
        <f t="shared" si="12"/>
        <v>308</v>
      </c>
      <c r="H56" s="55" t="s">
        <v>17</v>
      </c>
      <c r="I56" s="54" t="s">
        <v>119</v>
      </c>
    </row>
    <row r="57" spans="1:9" ht="25.5" x14ac:dyDescent="0.25">
      <c r="A57" s="53" t="s">
        <v>120</v>
      </c>
      <c r="B57" s="9" t="str">
        <f>A57&amp;".How many adults/boys/girls earn an income or contribute to household income? (99 for DK)"&amp;": Number of adults"</f>
        <v>DG9.A.How many adults/boys/girls earn an income or contribute to household income? (99 for DK): Number of adults</v>
      </c>
      <c r="C57" s="9" t="s">
        <v>83</v>
      </c>
      <c r="D57" s="53" t="s">
        <v>16</v>
      </c>
      <c r="E57" s="53">
        <v>2</v>
      </c>
      <c r="F57" s="53">
        <f>G56+1</f>
        <v>309</v>
      </c>
      <c r="G57" s="53">
        <f t="shared" si="12"/>
        <v>310</v>
      </c>
      <c r="H57" s="14" t="s">
        <v>121</v>
      </c>
      <c r="I57" s="54" t="s">
        <v>122</v>
      </c>
    </row>
    <row r="58" spans="1:9" ht="25.5" x14ac:dyDescent="0.25">
      <c r="A58" s="53" t="s">
        <v>123</v>
      </c>
      <c r="B58" s="9" t="str">
        <f>A58&amp;".How many adults/boys/girls earn an income or contribute to household income? (99 for DK)"&amp;": Number of children (boys)"</f>
        <v>DG9.B.How many adults/boys/girls earn an income or contribute to household income? (99 for DK): Number of children (boys)</v>
      </c>
      <c r="C58" s="57" t="s">
        <v>83</v>
      </c>
      <c r="D58" s="53" t="s">
        <v>16</v>
      </c>
      <c r="E58" s="53">
        <v>2</v>
      </c>
      <c r="F58" s="53">
        <f>G57+1</f>
        <v>311</v>
      </c>
      <c r="G58" s="53">
        <f t="shared" si="12"/>
        <v>312</v>
      </c>
      <c r="H58" s="14" t="s">
        <v>124</v>
      </c>
      <c r="I58" s="54" t="s">
        <v>125</v>
      </c>
    </row>
    <row r="59" spans="1:9" ht="25.5" x14ac:dyDescent="0.25">
      <c r="A59" s="53" t="s">
        <v>126</v>
      </c>
      <c r="B59" s="9" t="str">
        <f>A59&amp;".How many adults/boys/girls earn an income or contribute to household income? (99 for DK)"&amp;": Number of children (girls)"</f>
        <v>DG9.C.How many adults/boys/girls earn an income or contribute to household income? (99 for DK): Number of children (girls)</v>
      </c>
      <c r="C59" s="57" t="s">
        <v>83</v>
      </c>
      <c r="D59" s="53" t="s">
        <v>16</v>
      </c>
      <c r="E59" s="53">
        <v>2</v>
      </c>
      <c r="F59" s="53">
        <f t="shared" si="6"/>
        <v>313</v>
      </c>
      <c r="G59" s="53">
        <f t="shared" ref="G59:G65" si="13">G58+E59</f>
        <v>314</v>
      </c>
      <c r="H59" s="14" t="s">
        <v>127</v>
      </c>
      <c r="I59" s="54" t="s">
        <v>128</v>
      </c>
    </row>
    <row r="60" spans="1:9" ht="25.5" x14ac:dyDescent="0.25">
      <c r="A60" s="53" t="s">
        <v>129</v>
      </c>
      <c r="B60" s="9" t="str">
        <f>A60&amp;".How many school-age children (boys and girls 3 years and above) are in the household?: "&amp;"Number of children (boys)"</f>
        <v>DG10.B.How many school-age children (boys and girls 3 years and above) are in the household?: Number of children (boys)</v>
      </c>
      <c r="C60" s="57" t="s">
        <v>15</v>
      </c>
      <c r="D60" s="53" t="s">
        <v>16</v>
      </c>
      <c r="E60" s="53">
        <v>2</v>
      </c>
      <c r="F60" s="53">
        <f>G59+1</f>
        <v>315</v>
      </c>
      <c r="G60" s="53">
        <f>G59+E60</f>
        <v>316</v>
      </c>
      <c r="H60" s="14" t="s">
        <v>130</v>
      </c>
      <c r="I60" s="54" t="s">
        <v>131</v>
      </c>
    </row>
    <row r="61" spans="1:9" ht="25.5" x14ac:dyDescent="0.25">
      <c r="A61" s="53" t="s">
        <v>132</v>
      </c>
      <c r="B61" s="9" t="str">
        <f>A61&amp;".How many school-age children (boys and girls 3 years and above) are in the household?: "&amp;"Number of children (girls)"</f>
        <v>DG10.C.How many school-age children (boys and girls 3 years and above) are in the household?: Number of children (girls)</v>
      </c>
      <c r="C61" s="57" t="s">
        <v>15</v>
      </c>
      <c r="D61" s="53" t="s">
        <v>16</v>
      </c>
      <c r="E61" s="53">
        <v>2</v>
      </c>
      <c r="F61" s="53">
        <f t="shared" si="6"/>
        <v>317</v>
      </c>
      <c r="G61" s="53">
        <f t="shared" si="13"/>
        <v>318</v>
      </c>
      <c r="H61" s="14" t="s">
        <v>133</v>
      </c>
      <c r="I61" s="54" t="s">
        <v>134</v>
      </c>
    </row>
    <row r="62" spans="1:9" ht="28.5" customHeight="1" x14ac:dyDescent="0.25">
      <c r="A62" s="53" t="s">
        <v>135</v>
      </c>
      <c r="B62" s="9" t="str">
        <f>A62&amp;".How many school-age children (boys and girls 3 years and above) are enrolled in a school?: "&amp;"Number of children (boys)"</f>
        <v>DG11.B.How many school-age children (boys and girls 3 years and above) are enrolled in a school?: Number of children (boys)</v>
      </c>
      <c r="C62" s="57" t="s">
        <v>15</v>
      </c>
      <c r="D62" s="53" t="s">
        <v>16</v>
      </c>
      <c r="E62" s="53">
        <v>2</v>
      </c>
      <c r="F62" s="53">
        <f t="shared" si="6"/>
        <v>319</v>
      </c>
      <c r="G62" s="53">
        <f t="shared" si="13"/>
        <v>320</v>
      </c>
      <c r="H62" s="14" t="s">
        <v>136</v>
      </c>
      <c r="I62" s="54" t="s">
        <v>137</v>
      </c>
    </row>
    <row r="63" spans="1:9" ht="30.75" customHeight="1" x14ac:dyDescent="0.25">
      <c r="A63" s="53" t="s">
        <v>138</v>
      </c>
      <c r="B63" s="9" t="str">
        <f>A63&amp;".How many school-age children (boys and girls 3 years and above) are enrolled in a school?: "&amp;"Number of children (girls)"</f>
        <v>DG11.C.How many school-age children (boys and girls 3 years and above) are enrolled in a school?: Number of children (girls)</v>
      </c>
      <c r="C63" s="57" t="s">
        <v>15</v>
      </c>
      <c r="D63" s="53" t="s">
        <v>16</v>
      </c>
      <c r="E63" s="53">
        <v>2</v>
      </c>
      <c r="F63" s="53">
        <f t="shared" si="6"/>
        <v>321</v>
      </c>
      <c r="G63" s="53">
        <f t="shared" si="13"/>
        <v>322</v>
      </c>
      <c r="H63" s="14" t="s">
        <v>139</v>
      </c>
      <c r="I63" s="54" t="s">
        <v>140</v>
      </c>
    </row>
    <row r="64" spans="1:9" s="3" customFormat="1" ht="25.5" x14ac:dyDescent="0.25">
      <c r="A64" s="53" t="s">
        <v>141</v>
      </c>
      <c r="B64" s="57" t="str">
        <f>A64&amp;". What type of school do the children go to? Free school - Where you do not need to pay a fee"</f>
        <v>DG12.1. What type of school do the children go to? Free school - Where you do not need to pay a fee</v>
      </c>
      <c r="C64" s="57" t="s">
        <v>142</v>
      </c>
      <c r="D64" s="53" t="s">
        <v>38</v>
      </c>
      <c r="E64" s="53">
        <v>1</v>
      </c>
      <c r="F64" s="53">
        <f t="shared" si="6"/>
        <v>323</v>
      </c>
      <c r="G64" s="53">
        <f t="shared" si="13"/>
        <v>323</v>
      </c>
      <c r="H64" s="14" t="s">
        <v>143</v>
      </c>
      <c r="I64" s="53" t="str">
        <f>SUBSTITUTE(A64,".","_")</f>
        <v>DG12_1</v>
      </c>
    </row>
    <row r="65" spans="1:9" s="3" customFormat="1" ht="25.5" x14ac:dyDescent="0.25">
      <c r="A65" s="53" t="s">
        <v>144</v>
      </c>
      <c r="B65" s="57" t="str">
        <f>A65&amp;". What type of school do the children go to? I pay a fee for the school"</f>
        <v>DG12.2. What type of school do the children go to? I pay a fee for the school</v>
      </c>
      <c r="C65" s="57" t="s">
        <v>142</v>
      </c>
      <c r="D65" s="53" t="s">
        <v>38</v>
      </c>
      <c r="E65" s="53">
        <v>1</v>
      </c>
      <c r="F65" s="53">
        <f t="shared" si="6"/>
        <v>324</v>
      </c>
      <c r="G65" s="53">
        <f t="shared" si="13"/>
        <v>324</v>
      </c>
      <c r="H65" s="14" t="s">
        <v>143</v>
      </c>
      <c r="I65" s="53" t="str">
        <f t="shared" ref="I65:I71" si="14">SUBSTITUTE(A65,".","_")</f>
        <v>DG12_2</v>
      </c>
    </row>
    <row r="66" spans="1:9" s="3" customFormat="1" ht="25.5" x14ac:dyDescent="0.25">
      <c r="A66" s="53" t="s">
        <v>145</v>
      </c>
      <c r="B66" s="57" t="str">
        <f>A66&amp;". Have you ever experienced the following problems when trying to pay school fees? "&amp;Other!B2</f>
        <v>DG13.1. Have you ever experienced the following problems when trying to pay school fees? Lack of funds, could not pay at all</v>
      </c>
      <c r="C66" s="57" t="s">
        <v>142</v>
      </c>
      <c r="D66" s="53" t="s">
        <v>38</v>
      </c>
      <c r="E66" s="53">
        <v>1</v>
      </c>
      <c r="F66" s="53">
        <f>G65+1</f>
        <v>325</v>
      </c>
      <c r="G66" s="53">
        <f>G65+E66</f>
        <v>325</v>
      </c>
      <c r="H66" s="14" t="s">
        <v>146</v>
      </c>
      <c r="I66" s="53" t="str">
        <f t="shared" si="14"/>
        <v>DG13_1</v>
      </c>
    </row>
    <row r="67" spans="1:9" ht="25.5" x14ac:dyDescent="0.25">
      <c r="A67" s="53" t="s">
        <v>147</v>
      </c>
      <c r="B67" s="57" t="str">
        <f>A67&amp;". Have you ever experienced the following problems when trying to pay school fees? "&amp;Other!B3</f>
        <v>DG13.2. Have you ever experienced the following problems when trying to pay school fees? Lack of funds, could only pay a portion</v>
      </c>
      <c r="C67" s="9" t="s">
        <v>142</v>
      </c>
      <c r="D67" s="53" t="s">
        <v>38</v>
      </c>
      <c r="E67" s="53">
        <v>1</v>
      </c>
      <c r="F67" s="53">
        <f t="shared" si="6"/>
        <v>326</v>
      </c>
      <c r="G67" s="53">
        <f t="shared" ref="G67:G72" si="15">G66+E67</f>
        <v>326</v>
      </c>
      <c r="H67" s="14" t="s">
        <v>146</v>
      </c>
      <c r="I67" s="53" t="str">
        <f t="shared" si="14"/>
        <v>DG13_2</v>
      </c>
    </row>
    <row r="68" spans="1:9" ht="25.5" x14ac:dyDescent="0.25">
      <c r="A68" s="53" t="s">
        <v>148</v>
      </c>
      <c r="B68" s="57" t="str">
        <f>A68&amp;". Have you ever experienced the following problems when trying to pay school fees? "&amp;Other!B4</f>
        <v>DG13.3. Have you ever experienced the following problems when trying to pay school fees? Bank issues (high fees or long lines)</v>
      </c>
      <c r="C68" s="9" t="s">
        <v>142</v>
      </c>
      <c r="D68" s="53" t="s">
        <v>38</v>
      </c>
      <c r="E68" s="53">
        <v>1</v>
      </c>
      <c r="F68" s="53">
        <f t="shared" si="6"/>
        <v>327</v>
      </c>
      <c r="G68" s="53">
        <f t="shared" si="15"/>
        <v>327</v>
      </c>
      <c r="H68" s="14" t="s">
        <v>146</v>
      </c>
      <c r="I68" s="53" t="str">
        <f t="shared" si="14"/>
        <v>DG13_3</v>
      </c>
    </row>
    <row r="69" spans="1:9" ht="48.75" customHeight="1" x14ac:dyDescent="0.25">
      <c r="A69" s="53" t="s">
        <v>149</v>
      </c>
      <c r="B69" s="57" t="str">
        <f>A69&amp;". Have you ever experienced the following problems when trying to pay school fees? "&amp;Other!B5</f>
        <v>DG13.4. Have you ever experienced the following problems when trying to pay school fees? Had to deliver cash but failed because of long distance to school</v>
      </c>
      <c r="C69" s="9" t="s">
        <v>142</v>
      </c>
      <c r="D69" s="53" t="s">
        <v>38</v>
      </c>
      <c r="E69" s="53">
        <v>1</v>
      </c>
      <c r="F69" s="53">
        <f t="shared" si="6"/>
        <v>328</v>
      </c>
      <c r="G69" s="53">
        <f t="shared" si="15"/>
        <v>328</v>
      </c>
      <c r="H69" s="14" t="s">
        <v>146</v>
      </c>
      <c r="I69" s="53" t="str">
        <f t="shared" si="14"/>
        <v>DG13_4</v>
      </c>
    </row>
    <row r="70" spans="1:9" ht="25.5" x14ac:dyDescent="0.25">
      <c r="A70" s="53" t="s">
        <v>150</v>
      </c>
      <c r="B70" s="57" t="str">
        <f>A70&amp;". Have you ever experienced the following problems when trying to pay school fees? "&amp;Other!B6</f>
        <v>DG13.5. Have you ever experienced the following problems when trying to pay school fees? Don’t know the full amount</v>
      </c>
      <c r="C70" s="9" t="s">
        <v>142</v>
      </c>
      <c r="D70" s="53" t="s">
        <v>38</v>
      </c>
      <c r="E70" s="53">
        <v>1</v>
      </c>
      <c r="F70" s="53">
        <f t="shared" si="6"/>
        <v>329</v>
      </c>
      <c r="G70" s="53">
        <f t="shared" si="15"/>
        <v>329</v>
      </c>
      <c r="H70" s="14" t="s">
        <v>146</v>
      </c>
      <c r="I70" s="53" t="str">
        <f t="shared" si="14"/>
        <v>DG13_5</v>
      </c>
    </row>
    <row r="71" spans="1:9" ht="25.5" x14ac:dyDescent="0.25">
      <c r="A71" s="53" t="s">
        <v>151</v>
      </c>
      <c r="B71" s="57" t="str">
        <f>A71&amp;". Have you ever experienced the following problems when trying to pay school fees? "&amp;Other!B7</f>
        <v>DG13.96. Have you ever experienced the following problems when trying to pay school fees? Other(Specify)</v>
      </c>
      <c r="C71" s="9" t="s">
        <v>142</v>
      </c>
      <c r="D71" s="53" t="s">
        <v>38</v>
      </c>
      <c r="E71" s="53">
        <v>1</v>
      </c>
      <c r="F71" s="53">
        <f t="shared" si="6"/>
        <v>330</v>
      </c>
      <c r="G71" s="53">
        <f t="shared" si="15"/>
        <v>330</v>
      </c>
      <c r="H71" s="14" t="s">
        <v>146</v>
      </c>
      <c r="I71" s="53" t="str">
        <f t="shared" si="14"/>
        <v>DG13_96</v>
      </c>
    </row>
    <row r="72" spans="1:9" x14ac:dyDescent="0.2">
      <c r="A72" s="53" t="s">
        <v>152</v>
      </c>
      <c r="B72" s="9" t="str">
        <f>A72&amp;". What is the main reason not all school-age children are enrolled in school?"</f>
        <v>DG14. What is the main reason not all school-age children are enrolled in school?</v>
      </c>
      <c r="C72" s="60" t="s">
        <v>153</v>
      </c>
      <c r="D72" s="53" t="s">
        <v>38</v>
      </c>
      <c r="E72" s="53">
        <v>2</v>
      </c>
      <c r="F72" s="53">
        <f t="shared" si="6"/>
        <v>331</v>
      </c>
      <c r="G72" s="53">
        <f t="shared" si="15"/>
        <v>332</v>
      </c>
      <c r="H72" s="14" t="s">
        <v>154</v>
      </c>
      <c r="I72" s="54" t="str">
        <f>A72</f>
        <v>DG14</v>
      </c>
    </row>
    <row r="73" spans="1:9" x14ac:dyDescent="0.25">
      <c r="A73" s="124" t="s">
        <v>155</v>
      </c>
      <c r="B73" s="124"/>
      <c r="C73" s="124"/>
      <c r="D73" s="124"/>
      <c r="E73" s="124"/>
      <c r="F73" s="124"/>
      <c r="G73" s="124"/>
      <c r="H73" s="124"/>
      <c r="I73" s="124"/>
    </row>
    <row r="74" spans="1:9" x14ac:dyDescent="0.25">
      <c r="A74" s="51" t="s">
        <v>4</v>
      </c>
      <c r="B74" s="52" t="s">
        <v>5</v>
      </c>
      <c r="C74" s="52" t="s">
        <v>6</v>
      </c>
      <c r="D74" s="51" t="s">
        <v>7</v>
      </c>
      <c r="E74" s="51" t="s">
        <v>8</v>
      </c>
      <c r="F74" s="51" t="s">
        <v>9</v>
      </c>
      <c r="G74" s="51" t="s">
        <v>10</v>
      </c>
      <c r="H74" s="52" t="s">
        <v>11</v>
      </c>
      <c r="I74" s="51" t="s">
        <v>12</v>
      </c>
    </row>
    <row r="75" spans="1:9" s="3" customFormat="1" ht="25.5" x14ac:dyDescent="0.25">
      <c r="A75" s="53" t="s">
        <v>156</v>
      </c>
      <c r="B75" s="57" t="s">
        <v>157</v>
      </c>
      <c r="C75" s="9" t="s">
        <v>158</v>
      </c>
      <c r="D75" s="53" t="s">
        <v>38</v>
      </c>
      <c r="E75" s="53">
        <v>1</v>
      </c>
      <c r="F75" s="53">
        <f>G72+1</f>
        <v>333</v>
      </c>
      <c r="G75" s="53">
        <f>G72+E75</f>
        <v>333</v>
      </c>
      <c r="H75" s="55" t="s">
        <v>17</v>
      </c>
      <c r="I75" s="53" t="s">
        <v>156</v>
      </c>
    </row>
    <row r="76" spans="1:9" x14ac:dyDescent="0.25">
      <c r="A76" s="53" t="s">
        <v>159</v>
      </c>
      <c r="B76" s="9" t="s">
        <v>160</v>
      </c>
      <c r="C76" s="59" t="s">
        <v>161</v>
      </c>
      <c r="D76" s="54" t="s">
        <v>38</v>
      </c>
      <c r="E76" s="53">
        <v>2</v>
      </c>
      <c r="F76" s="53">
        <f>G75+1</f>
        <v>334</v>
      </c>
      <c r="G76" s="53">
        <f>G75+E76</f>
        <v>335</v>
      </c>
      <c r="H76" s="55" t="s">
        <v>17</v>
      </c>
      <c r="I76" s="54" t="s">
        <v>159</v>
      </c>
    </row>
    <row r="77" spans="1:9" x14ac:dyDescent="0.25">
      <c r="A77" s="53" t="s">
        <v>162</v>
      </c>
      <c r="B77" s="9" t="s">
        <v>163</v>
      </c>
      <c r="C77" s="61" t="s">
        <v>164</v>
      </c>
      <c r="D77" s="54" t="s">
        <v>38</v>
      </c>
      <c r="E77" s="53">
        <v>2</v>
      </c>
      <c r="F77" s="53">
        <f t="shared" ref="F77:F105" si="16">G76+1</f>
        <v>336</v>
      </c>
      <c r="G77" s="53">
        <f t="shared" ref="G77:G87" si="17">G76+E77</f>
        <v>337</v>
      </c>
      <c r="H77" s="55" t="s">
        <v>165</v>
      </c>
      <c r="I77" s="54" t="s">
        <v>162</v>
      </c>
    </row>
    <row r="78" spans="1:9" ht="25.5" x14ac:dyDescent="0.25">
      <c r="A78" s="53" t="s">
        <v>166</v>
      </c>
      <c r="B78" s="9" t="s">
        <v>167</v>
      </c>
      <c r="C78" s="9" t="s">
        <v>92</v>
      </c>
      <c r="D78" s="54" t="s">
        <v>38</v>
      </c>
      <c r="E78" s="53">
        <v>1</v>
      </c>
      <c r="F78" s="53">
        <f t="shared" si="16"/>
        <v>338</v>
      </c>
      <c r="G78" s="53">
        <f t="shared" si="17"/>
        <v>338</v>
      </c>
      <c r="H78" s="55" t="s">
        <v>165</v>
      </c>
      <c r="I78" s="54" t="s">
        <v>166</v>
      </c>
    </row>
    <row r="79" spans="1:9" ht="25.5" x14ac:dyDescent="0.25">
      <c r="A79" s="53" t="s">
        <v>168</v>
      </c>
      <c r="B79" s="9" t="str">
        <f>A79&amp;". Please tell me in which of the following ways you got money in the past 12 months? "&amp;'vDL4&amp;5'!B2</f>
        <v>DL4.1. Please tell me in which of the following ways you got money in the past 12 months? Government student scholarship (either directly or through schools)</v>
      </c>
      <c r="C79" s="9" t="s">
        <v>92</v>
      </c>
      <c r="D79" s="53" t="s">
        <v>38</v>
      </c>
      <c r="E79" s="53">
        <v>1</v>
      </c>
      <c r="F79" s="53">
        <f t="shared" si="16"/>
        <v>339</v>
      </c>
      <c r="G79" s="53">
        <f t="shared" si="17"/>
        <v>339</v>
      </c>
      <c r="H79" s="55" t="s">
        <v>17</v>
      </c>
      <c r="I79" s="53" t="str">
        <f>SUBSTITUTE(A79,".","_")</f>
        <v>DL4_1</v>
      </c>
    </row>
    <row r="80" spans="1:9" ht="25.5" x14ac:dyDescent="0.25">
      <c r="A80" s="53" t="s">
        <v>169</v>
      </c>
      <c r="B80" s="9" t="str">
        <f>A80&amp;". Please tell me in which of the following ways you got money in the past 12 months? "&amp;'vDL4&amp;5'!B3</f>
        <v xml:space="preserve">DL4.2. Please tell me in which of the following ways you got money in the past 12 months? Pension that you received from government </v>
      </c>
      <c r="C80" s="9" t="s">
        <v>92</v>
      </c>
      <c r="D80" s="53" t="s">
        <v>38</v>
      </c>
      <c r="E80" s="53">
        <v>1</v>
      </c>
      <c r="F80" s="53">
        <f t="shared" si="16"/>
        <v>340</v>
      </c>
      <c r="G80" s="53">
        <f t="shared" si="17"/>
        <v>340</v>
      </c>
      <c r="H80" s="55" t="s">
        <v>17</v>
      </c>
      <c r="I80" s="53" t="str">
        <f t="shared" ref="I80:I106" si="18">SUBSTITUTE(A80,".","_")</f>
        <v>DL4_2</v>
      </c>
    </row>
    <row r="81" spans="1:9" ht="25.5" x14ac:dyDescent="0.25">
      <c r="A81" s="53" t="s">
        <v>170</v>
      </c>
      <c r="B81" s="9" t="str">
        <f>A81&amp;". Please tell me in which of the following ways you got money in the past 12 months? "&amp;'vDL4&amp;5'!B4</f>
        <v>DL4.3. Please tell me in which of the following ways you got money in the past 12 months? Other government benefits, including in the form of food and/or grants</v>
      </c>
      <c r="C81" s="9" t="s">
        <v>92</v>
      </c>
      <c r="D81" s="53" t="s">
        <v>38</v>
      </c>
      <c r="E81" s="53">
        <v>1</v>
      </c>
      <c r="F81" s="53">
        <f t="shared" si="16"/>
        <v>341</v>
      </c>
      <c r="G81" s="53">
        <f t="shared" si="17"/>
        <v>341</v>
      </c>
      <c r="H81" s="55" t="s">
        <v>17</v>
      </c>
      <c r="I81" s="53" t="str">
        <f t="shared" si="18"/>
        <v>DL4_3</v>
      </c>
    </row>
    <row r="82" spans="1:9" ht="25.5" x14ac:dyDescent="0.25">
      <c r="A82" s="53" t="s">
        <v>171</v>
      </c>
      <c r="B82" s="9" t="str">
        <f>A82&amp;". Please tell me in which of the following ways you got money in the past 12 months? "&amp;'vDL4&amp;5'!B5</f>
        <v xml:space="preserve">DL4.4. Please tell me in which of the following ways you got money in the past 12 months? Pension that you received from ex-employer or pension scheme  </v>
      </c>
      <c r="C82" s="9" t="s">
        <v>92</v>
      </c>
      <c r="D82" s="53" t="s">
        <v>38</v>
      </c>
      <c r="E82" s="53">
        <v>1</v>
      </c>
      <c r="F82" s="53">
        <f t="shared" si="16"/>
        <v>342</v>
      </c>
      <c r="G82" s="53">
        <f t="shared" si="17"/>
        <v>342</v>
      </c>
      <c r="H82" s="55" t="s">
        <v>17</v>
      </c>
      <c r="I82" s="53" t="str">
        <f t="shared" si="18"/>
        <v>DL4_4</v>
      </c>
    </row>
    <row r="83" spans="1:9" ht="25.5" x14ac:dyDescent="0.25">
      <c r="A83" s="53" t="s">
        <v>172</v>
      </c>
      <c r="B83" s="9" t="str">
        <f>A83&amp;". Please tell me in which of the following ways you got money in the past 12 months? "&amp;'vDL4&amp;5'!B6</f>
        <v>DL4.5. Please tell me in which of the following ways you got money in the past 12 months? Money from family/friends/spouse for regular support or emergencies</v>
      </c>
      <c r="C83" s="9" t="s">
        <v>92</v>
      </c>
      <c r="D83" s="53" t="s">
        <v>38</v>
      </c>
      <c r="E83" s="53">
        <v>1</v>
      </c>
      <c r="F83" s="53">
        <f t="shared" si="16"/>
        <v>343</v>
      </c>
      <c r="G83" s="53">
        <f t="shared" si="17"/>
        <v>343</v>
      </c>
      <c r="H83" s="55" t="s">
        <v>17</v>
      </c>
      <c r="I83" s="53" t="str">
        <f t="shared" si="18"/>
        <v>DL4_5</v>
      </c>
    </row>
    <row r="84" spans="1:9" ht="25.5" x14ac:dyDescent="0.25">
      <c r="A84" s="53" t="s">
        <v>173</v>
      </c>
      <c r="B84" s="9" t="str">
        <f>A84&amp;". Please tell me in which of the following ways you got money in the past 12 months? "&amp;'vDL4&amp;5'!B7</f>
        <v>DL4.6. Please tell me in which of the following ways you got money in the past 12 months? Grew something and sold it</v>
      </c>
      <c r="C84" s="9" t="s">
        <v>92</v>
      </c>
      <c r="D84" s="53" t="s">
        <v>38</v>
      </c>
      <c r="E84" s="53">
        <v>1</v>
      </c>
      <c r="F84" s="53">
        <f t="shared" si="16"/>
        <v>344</v>
      </c>
      <c r="G84" s="53">
        <f t="shared" si="17"/>
        <v>344</v>
      </c>
      <c r="H84" s="55" t="s">
        <v>17</v>
      </c>
      <c r="I84" s="53" t="str">
        <f t="shared" si="18"/>
        <v>DL4_6</v>
      </c>
    </row>
    <row r="85" spans="1:9" ht="25.5" x14ac:dyDescent="0.25">
      <c r="A85" s="53" t="s">
        <v>174</v>
      </c>
      <c r="B85" s="9" t="str">
        <f>A85&amp;". Please tell me in which of the following ways you got money in the past 12 months? "&amp;'vDL4&amp;5'!B8</f>
        <v>DL4.7. Please tell me in which of the following ways you got money in the past 12 months? Reared livestock/poultry/fish/bees and sold them or sold their by-products</v>
      </c>
      <c r="C85" s="9" t="s">
        <v>92</v>
      </c>
      <c r="D85" s="53" t="s">
        <v>38</v>
      </c>
      <c r="E85" s="53">
        <v>1</v>
      </c>
      <c r="F85" s="53">
        <f t="shared" si="16"/>
        <v>345</v>
      </c>
      <c r="G85" s="53">
        <f t="shared" si="17"/>
        <v>345</v>
      </c>
      <c r="H85" s="55" t="s">
        <v>17</v>
      </c>
      <c r="I85" s="53" t="str">
        <f t="shared" si="18"/>
        <v>DL4_7</v>
      </c>
    </row>
    <row r="86" spans="1:9" ht="51" x14ac:dyDescent="0.25">
      <c r="A86" s="53" t="s">
        <v>175</v>
      </c>
      <c r="B86" s="9" t="str">
        <f>A86&amp;". Please tell me in which of the following ways you got money in the past 12 months? "&amp;'vDL4&amp;5'!B9</f>
        <v>DL4.8. Please tell me in which of the following ways you got money in the past 12 months? Bought/obtained agricultural products from farmers to either process it/change it to another form for sale or for your own use (e.g., rice to flour; milk to cheese; etc.)</v>
      </c>
      <c r="C86" s="9" t="s">
        <v>92</v>
      </c>
      <c r="D86" s="53" t="s">
        <v>38</v>
      </c>
      <c r="E86" s="53">
        <v>1</v>
      </c>
      <c r="F86" s="53">
        <f t="shared" si="16"/>
        <v>346</v>
      </c>
      <c r="G86" s="53">
        <f t="shared" si="17"/>
        <v>346</v>
      </c>
      <c r="H86" s="55" t="s">
        <v>17</v>
      </c>
      <c r="I86" s="53" t="str">
        <f t="shared" si="18"/>
        <v>DL4_8</v>
      </c>
    </row>
    <row r="87" spans="1:9" ht="38.25" x14ac:dyDescent="0.25">
      <c r="A87" s="53" t="s">
        <v>176</v>
      </c>
      <c r="B87" s="9" t="str">
        <f>A87&amp;". Please tell me in which of the following ways you got money in the past 12 months? "&amp;'vDL4&amp;5'!B10</f>
        <v>DL4.9. Please tell me in which of the following ways you got money in the past 12 months? Sold something to farmers for the purpose of farming (e.g., seeds, fertilizers, equipment)</v>
      </c>
      <c r="C87" s="9" t="s">
        <v>92</v>
      </c>
      <c r="D87" s="53" t="s">
        <v>38</v>
      </c>
      <c r="E87" s="53">
        <v>1</v>
      </c>
      <c r="F87" s="53">
        <f t="shared" si="16"/>
        <v>347</v>
      </c>
      <c r="G87" s="53">
        <f t="shared" si="17"/>
        <v>347</v>
      </c>
      <c r="H87" s="55" t="s">
        <v>17</v>
      </c>
      <c r="I87" s="53" t="str">
        <f t="shared" si="18"/>
        <v>DL4_9</v>
      </c>
    </row>
    <row r="88" spans="1:9" ht="38.25" x14ac:dyDescent="0.25">
      <c r="A88" s="53" t="s">
        <v>177</v>
      </c>
      <c r="B88" s="9" t="str">
        <f>A88&amp;". Please tell me in which of the following ways you got money in the past 12 months? "&amp;'vDL4&amp;5'!B11</f>
        <v>DL4.10. Please tell me in which of the following ways you got money in the past 12 months? Sold something to processors of farming products for the purpose of processing (packaging, machinery, chemicals)</v>
      </c>
      <c r="C88" s="9" t="s">
        <v>92</v>
      </c>
      <c r="D88" s="53" t="s">
        <v>38</v>
      </c>
      <c r="E88" s="53">
        <v>1</v>
      </c>
      <c r="F88" s="53">
        <f>G87+1</f>
        <v>348</v>
      </c>
      <c r="G88" s="53">
        <f>G87+E88</f>
        <v>348</v>
      </c>
      <c r="H88" s="55" t="s">
        <v>17</v>
      </c>
      <c r="I88" s="53" t="str">
        <f t="shared" si="18"/>
        <v>DL4_10</v>
      </c>
    </row>
    <row r="89" spans="1:9" ht="38.25" x14ac:dyDescent="0.25">
      <c r="A89" s="53" t="s">
        <v>178</v>
      </c>
      <c r="B89" s="9" t="str">
        <f>A89&amp;". Please tell me in which of the following ways you got money in the past 12 months? "&amp;'vDL4&amp;5'!B12</f>
        <v>DL4.11. Please tell me in which of the following ways you got money in the past 12 months? Make/manufacture something that is used for farming purposes or processing of farming products (plow, nets, boat, etc)</v>
      </c>
      <c r="C89" s="9" t="s">
        <v>92</v>
      </c>
      <c r="D89" s="53" t="s">
        <v>38</v>
      </c>
      <c r="E89" s="53">
        <v>1</v>
      </c>
      <c r="F89" s="53">
        <f t="shared" si="16"/>
        <v>349</v>
      </c>
      <c r="G89" s="53">
        <f t="shared" ref="G89:G99" si="19">G88+E89</f>
        <v>349</v>
      </c>
      <c r="H89" s="55" t="s">
        <v>17</v>
      </c>
      <c r="I89" s="53" t="str">
        <f t="shared" si="18"/>
        <v>DL4_11</v>
      </c>
    </row>
    <row r="90" spans="1:9" ht="38.25" x14ac:dyDescent="0.25">
      <c r="A90" s="53" t="s">
        <v>179</v>
      </c>
      <c r="B90" s="9" t="str">
        <f>A90&amp;". Please tell me in which of the following ways you got money in the past 12 months? "&amp;'vDL4&amp;5'!B13</f>
        <v>DL4.12. Please tell me in which of the following ways you got money in the past 12 months? Provided a service to farmers or processors of farming products (e.g., rented ploughs, tractors,boat, other equipment)</v>
      </c>
      <c r="C90" s="9" t="s">
        <v>92</v>
      </c>
      <c r="D90" s="53" t="s">
        <v>38</v>
      </c>
      <c r="E90" s="53">
        <v>1</v>
      </c>
      <c r="F90" s="53">
        <f t="shared" si="16"/>
        <v>350</v>
      </c>
      <c r="G90" s="53">
        <f t="shared" si="19"/>
        <v>350</v>
      </c>
      <c r="H90" s="55" t="s">
        <v>17</v>
      </c>
      <c r="I90" s="53" t="str">
        <f t="shared" si="18"/>
        <v>DL4_12</v>
      </c>
    </row>
    <row r="91" spans="1:9" ht="25.5" x14ac:dyDescent="0.25">
      <c r="A91" s="53" t="s">
        <v>180</v>
      </c>
      <c r="B91" s="9" t="str">
        <f>A91&amp;". Please tell me in which of the following ways you got money in the past 12 months? "&amp;'vDL4&amp;5'!B14</f>
        <v>DL4.13. Please tell me in which of the following ways you got money in the past 12 months? Rented land to farmers for farming/husbandry/land fishery purposes</v>
      </c>
      <c r="C91" s="9" t="s">
        <v>92</v>
      </c>
      <c r="D91" s="53" t="s">
        <v>38</v>
      </c>
      <c r="E91" s="53">
        <v>1</v>
      </c>
      <c r="F91" s="53">
        <f t="shared" si="16"/>
        <v>351</v>
      </c>
      <c r="G91" s="53">
        <f t="shared" si="19"/>
        <v>351</v>
      </c>
      <c r="H91" s="55" t="s">
        <v>17</v>
      </c>
      <c r="I91" s="53" t="str">
        <f t="shared" si="18"/>
        <v>DL4_13</v>
      </c>
    </row>
    <row r="92" spans="1:9" ht="25.5" x14ac:dyDescent="0.25">
      <c r="A92" s="53" t="s">
        <v>181</v>
      </c>
      <c r="B92" s="9" t="str">
        <f>A92&amp;". Please tell me in which of the following ways you got money in the past 12 months? "&amp;'vDL4&amp;5'!B15</f>
        <v xml:space="preserve">DL4.14. Please tell me in which of the following ways you got money in the past 12 months? Fish farming /Fishing – aquaculture, fishermen   </v>
      </c>
      <c r="C92" s="9" t="s">
        <v>92</v>
      </c>
      <c r="D92" s="53" t="s">
        <v>38</v>
      </c>
      <c r="E92" s="53">
        <v>1</v>
      </c>
      <c r="F92" s="53">
        <f t="shared" si="16"/>
        <v>352</v>
      </c>
      <c r="G92" s="53">
        <f t="shared" si="19"/>
        <v>352</v>
      </c>
      <c r="H92" s="55" t="s">
        <v>17</v>
      </c>
      <c r="I92" s="53" t="str">
        <f t="shared" si="18"/>
        <v>DL4_14</v>
      </c>
    </row>
    <row r="93" spans="1:9" ht="25.5" x14ac:dyDescent="0.25">
      <c r="A93" s="53" t="s">
        <v>182</v>
      </c>
      <c r="B93" s="9" t="str">
        <f>A93&amp;". Please tell me in which of the following ways you got money in the past 12 months? "&amp;'vDL4&amp;5'!B16</f>
        <v xml:space="preserve">DL4.15. Please tell me in which of the following ways you got money in the past 12 months? Employed on other people’s farm </v>
      </c>
      <c r="C93" s="9" t="s">
        <v>92</v>
      </c>
      <c r="D93" s="53" t="s">
        <v>38</v>
      </c>
      <c r="E93" s="53">
        <v>1</v>
      </c>
      <c r="F93" s="53">
        <f t="shared" si="16"/>
        <v>353</v>
      </c>
      <c r="G93" s="53">
        <f t="shared" si="19"/>
        <v>353</v>
      </c>
      <c r="H93" s="55" t="s">
        <v>17</v>
      </c>
      <c r="I93" s="53" t="str">
        <f t="shared" si="18"/>
        <v>DL4_15</v>
      </c>
    </row>
    <row r="94" spans="1:9" ht="25.5" x14ac:dyDescent="0.25">
      <c r="A94" s="53" t="s">
        <v>183</v>
      </c>
      <c r="B94" s="9" t="str">
        <f>A94&amp;". Please tell me in which of the following ways you got money in the past 12 months? "&amp;'vDL4&amp;5'!B17</f>
        <v xml:space="preserve">DL4.16. Please tell me in which of the following ways you got money in the past 12 months? Employed to do other people’s domestic chores </v>
      </c>
      <c r="C94" s="9" t="s">
        <v>92</v>
      </c>
      <c r="D94" s="53" t="s">
        <v>38</v>
      </c>
      <c r="E94" s="53">
        <v>1</v>
      </c>
      <c r="F94" s="53">
        <f t="shared" si="16"/>
        <v>354</v>
      </c>
      <c r="G94" s="53">
        <f t="shared" si="19"/>
        <v>354</v>
      </c>
      <c r="H94" s="55" t="s">
        <v>17</v>
      </c>
      <c r="I94" s="53" t="str">
        <f t="shared" si="18"/>
        <v>DL4_16</v>
      </c>
    </row>
    <row r="95" spans="1:9" ht="25.5" x14ac:dyDescent="0.25">
      <c r="A95" s="53" t="s">
        <v>184</v>
      </c>
      <c r="B95" s="9" t="str">
        <f>A95&amp;". Please tell me in which of the following ways you got money in the past 12 months? "&amp;'vDL4&amp;5'!B18</f>
        <v xml:space="preserve">DL4.17. Please tell me in which of the following ways you got money in the past 12 months? Employed by the government </v>
      </c>
      <c r="C95" s="9" t="s">
        <v>92</v>
      </c>
      <c r="D95" s="53" t="s">
        <v>38</v>
      </c>
      <c r="E95" s="53">
        <v>1</v>
      </c>
      <c r="F95" s="53">
        <f t="shared" si="16"/>
        <v>355</v>
      </c>
      <c r="G95" s="53">
        <f t="shared" si="19"/>
        <v>355</v>
      </c>
      <c r="H95" s="55" t="s">
        <v>17</v>
      </c>
      <c r="I95" s="53" t="str">
        <f t="shared" si="18"/>
        <v>DL4_17</v>
      </c>
    </row>
    <row r="96" spans="1:9" ht="25.5" x14ac:dyDescent="0.25">
      <c r="A96" s="53" t="s">
        <v>185</v>
      </c>
      <c r="B96" s="9" t="str">
        <f>A96&amp;". Please tell me in which of the following ways you got money in the past 12 months? "&amp;'vDL4&amp;5'!B19</f>
        <v xml:space="preserve">DL4.18. Please tell me in which of the following ways you got money in the past 12 months? Employed in private sector – office/business/factory </v>
      </c>
      <c r="C96" s="9" t="s">
        <v>92</v>
      </c>
      <c r="D96" s="53" t="s">
        <v>38</v>
      </c>
      <c r="E96" s="53">
        <v>1</v>
      </c>
      <c r="F96" s="53">
        <f t="shared" si="16"/>
        <v>356</v>
      </c>
      <c r="G96" s="53">
        <f t="shared" si="19"/>
        <v>356</v>
      </c>
      <c r="H96" s="55" t="s">
        <v>17</v>
      </c>
      <c r="I96" s="53" t="str">
        <f t="shared" si="18"/>
        <v>DL4_18</v>
      </c>
    </row>
    <row r="97" spans="1:9" ht="25.5" x14ac:dyDescent="0.25">
      <c r="A97" s="53" t="s">
        <v>186</v>
      </c>
      <c r="B97" s="9" t="str">
        <f>A97&amp;". Please tell me in which of the following ways you got money in the past 12 months? "&amp;'vDL4&amp;5'!B20</f>
        <v xml:space="preserve">DL4.19. Please tell me in which of the following ways you got money in the past 12 months? Ran your own business  </v>
      </c>
      <c r="C97" s="9" t="s">
        <v>92</v>
      </c>
      <c r="D97" s="53" t="s">
        <v>38</v>
      </c>
      <c r="E97" s="53">
        <v>1</v>
      </c>
      <c r="F97" s="53">
        <f t="shared" si="16"/>
        <v>357</v>
      </c>
      <c r="G97" s="53">
        <f t="shared" si="19"/>
        <v>357</v>
      </c>
      <c r="H97" s="55" t="s">
        <v>17</v>
      </c>
      <c r="I97" s="53" t="str">
        <f t="shared" si="18"/>
        <v>DL4_19</v>
      </c>
    </row>
    <row r="98" spans="1:9" ht="25.5" x14ac:dyDescent="0.25">
      <c r="A98" s="53" t="s">
        <v>187</v>
      </c>
      <c r="B98" s="9" t="str">
        <f>A98&amp;". Please tell me in which of the following ways you got money in the past 12 months? "&amp;'vDL4&amp;5'!B21</f>
        <v>DL4.20. Please tell me in which of the following ways you got money in the past 12 months? Rented rooms in house</v>
      </c>
      <c r="C98" s="9" t="s">
        <v>92</v>
      </c>
      <c r="D98" s="53" t="s">
        <v>38</v>
      </c>
      <c r="E98" s="53">
        <v>1</v>
      </c>
      <c r="F98" s="53">
        <f t="shared" si="16"/>
        <v>358</v>
      </c>
      <c r="G98" s="53">
        <f t="shared" si="19"/>
        <v>358</v>
      </c>
      <c r="H98" s="55" t="s">
        <v>17</v>
      </c>
      <c r="I98" s="53" t="str">
        <f t="shared" si="18"/>
        <v>DL4_20</v>
      </c>
    </row>
    <row r="99" spans="1:9" ht="25.5" x14ac:dyDescent="0.25">
      <c r="A99" s="53" t="s">
        <v>188</v>
      </c>
      <c r="B99" s="9" t="str">
        <f>A99&amp;". Please tell me in which of the following ways you got money in the past 12 months? "&amp;'vDL4&amp;5'!B22</f>
        <v>DL4.21. Please tell me in which of the following ways you got money in the past 12 months? Earning money from investments (e.g., shares, stocks)</v>
      </c>
      <c r="C99" s="9" t="s">
        <v>92</v>
      </c>
      <c r="D99" s="53" t="s">
        <v>38</v>
      </c>
      <c r="E99" s="53">
        <v>1</v>
      </c>
      <c r="F99" s="53">
        <f t="shared" si="16"/>
        <v>359</v>
      </c>
      <c r="G99" s="53">
        <f t="shared" si="19"/>
        <v>359</v>
      </c>
      <c r="H99" s="55" t="s">
        <v>17</v>
      </c>
      <c r="I99" s="53" t="str">
        <f t="shared" si="18"/>
        <v>DL4_21</v>
      </c>
    </row>
    <row r="100" spans="1:9" ht="25.5" x14ac:dyDescent="0.25">
      <c r="A100" s="53" t="s">
        <v>189</v>
      </c>
      <c r="B100" s="9" t="str">
        <f>A100&amp;". Please tell me in which of the following ways you got money in the past 12 months? "&amp;'vDL4&amp;5'!B23</f>
        <v>DL4.22. Please tell me in which of the following ways you got money in the past 12 months? Aid agency/NGO assistance in form of food or grants</v>
      </c>
      <c r="C100" s="9" t="s">
        <v>92</v>
      </c>
      <c r="D100" s="53" t="s">
        <v>38</v>
      </c>
      <c r="E100" s="53">
        <v>1</v>
      </c>
      <c r="F100" s="53">
        <f>G99+1</f>
        <v>360</v>
      </c>
      <c r="G100" s="53">
        <f t="shared" ref="G100:G106" si="20">G99+E100</f>
        <v>360</v>
      </c>
      <c r="H100" s="55" t="s">
        <v>17</v>
      </c>
      <c r="I100" s="53" t="str">
        <f t="shared" si="18"/>
        <v>DL4_22</v>
      </c>
    </row>
    <row r="101" spans="1:9" ht="25.5" x14ac:dyDescent="0.25">
      <c r="A101" s="53" t="s">
        <v>190</v>
      </c>
      <c r="B101" s="9" t="str">
        <f>A101&amp;". Please tell me in which of the following ways you got money in the past 12 months? "&amp;'vDL4&amp;5'!B24</f>
        <v>DL4.96. Please tell me in which of the following ways you got money in the past 12 months? Other (specify)</v>
      </c>
      <c r="C101" s="9" t="s">
        <v>92</v>
      </c>
      <c r="D101" s="53" t="s">
        <v>38</v>
      </c>
      <c r="E101" s="53">
        <v>1</v>
      </c>
      <c r="F101" s="53">
        <f t="shared" si="16"/>
        <v>361</v>
      </c>
      <c r="G101" s="53">
        <f t="shared" si="20"/>
        <v>361</v>
      </c>
      <c r="H101" s="55" t="s">
        <v>17</v>
      </c>
      <c r="I101" s="53" t="str">
        <f t="shared" si="18"/>
        <v>DL4_96</v>
      </c>
    </row>
    <row r="102" spans="1:9" ht="25.5" x14ac:dyDescent="0.25">
      <c r="A102" s="53" t="s">
        <v>191</v>
      </c>
      <c r="B102" s="9" t="str">
        <f>A102&amp;". Please tell me in which of the following ways you got money in the past 12 months? "&amp;'vDL4&amp;5'!B25</f>
        <v>DL4.99. Please tell me in which of the following ways you got money in the past 12 months? DK</v>
      </c>
      <c r="C102" s="9" t="s">
        <v>92</v>
      </c>
      <c r="D102" s="53" t="s">
        <v>38</v>
      </c>
      <c r="E102" s="53">
        <v>1</v>
      </c>
      <c r="F102" s="53">
        <f t="shared" si="16"/>
        <v>362</v>
      </c>
      <c r="G102" s="53">
        <f t="shared" si="20"/>
        <v>362</v>
      </c>
      <c r="H102" s="55" t="s">
        <v>17</v>
      </c>
      <c r="I102" s="53" t="str">
        <f>SUBSTITUTE(A102,".","_")</f>
        <v>DL4_99</v>
      </c>
    </row>
    <row r="103" spans="1:9" s="3" customFormat="1" ht="102" x14ac:dyDescent="0.25">
      <c r="A103" s="53" t="s">
        <v>192</v>
      </c>
      <c r="B103" s="57" t="s">
        <v>193</v>
      </c>
      <c r="C103" s="62" t="s">
        <v>194</v>
      </c>
      <c r="D103" s="53" t="s">
        <v>38</v>
      </c>
      <c r="E103" s="53">
        <v>2</v>
      </c>
      <c r="F103" s="53">
        <f t="shared" si="16"/>
        <v>363</v>
      </c>
      <c r="G103" s="53">
        <f t="shared" si="20"/>
        <v>364</v>
      </c>
      <c r="H103" s="14" t="s">
        <v>195</v>
      </c>
      <c r="I103" s="53" t="str">
        <f t="shared" si="18"/>
        <v>DL5</v>
      </c>
    </row>
    <row r="104" spans="1:9" ht="25.5" x14ac:dyDescent="0.25">
      <c r="A104" s="54" t="s">
        <v>196</v>
      </c>
      <c r="B104" s="9" t="str">
        <f>A104 &amp; ".Does anyone in your households own a farm/farmland? "</f>
        <v xml:space="preserve">DL6.Does anyone in your households own a farm/farmland? </v>
      </c>
      <c r="C104" s="9" t="s">
        <v>92</v>
      </c>
      <c r="D104" s="54" t="s">
        <v>38</v>
      </c>
      <c r="E104" s="53">
        <v>1</v>
      </c>
      <c r="F104" s="53">
        <f t="shared" si="16"/>
        <v>365</v>
      </c>
      <c r="G104" s="53">
        <f t="shared" si="20"/>
        <v>365</v>
      </c>
      <c r="H104" s="55" t="s">
        <v>17</v>
      </c>
      <c r="I104" s="53" t="str">
        <f t="shared" si="18"/>
        <v>DL6</v>
      </c>
    </row>
    <row r="105" spans="1:9" ht="25.5" x14ac:dyDescent="0.25">
      <c r="A105" s="54" t="s">
        <v>197</v>
      </c>
      <c r="B105" s="9" t="s">
        <v>198</v>
      </c>
      <c r="C105" s="9" t="s">
        <v>92</v>
      </c>
      <c r="D105" s="54" t="s">
        <v>38</v>
      </c>
      <c r="E105" s="53">
        <v>1</v>
      </c>
      <c r="F105" s="53">
        <f t="shared" si="16"/>
        <v>366</v>
      </c>
      <c r="G105" s="53">
        <f t="shared" si="20"/>
        <v>366</v>
      </c>
      <c r="H105" s="55" t="s">
        <v>199</v>
      </c>
      <c r="I105" s="53" t="str">
        <f t="shared" si="18"/>
        <v>DL7</v>
      </c>
    </row>
    <row r="106" spans="1:9" s="3" customFormat="1" ht="25.5" x14ac:dyDescent="0.2">
      <c r="A106" s="53" t="s">
        <v>200</v>
      </c>
      <c r="B106" s="57" t="str">
        <f>A106&amp;".How much of your land is under cultivation? Unit: hectares (99=DK)"</f>
        <v>DL8.How much of your land is under cultivation? Unit: hectares (99=DK)</v>
      </c>
      <c r="C106" s="63" t="s">
        <v>2316</v>
      </c>
      <c r="D106" s="53" t="s">
        <v>16</v>
      </c>
      <c r="E106" s="53">
        <v>5</v>
      </c>
      <c r="F106" s="53">
        <f>G105+1</f>
        <v>367</v>
      </c>
      <c r="G106" s="53">
        <f t="shared" si="20"/>
        <v>371</v>
      </c>
      <c r="H106" s="14" t="s">
        <v>199</v>
      </c>
      <c r="I106" s="53" t="str">
        <f t="shared" si="18"/>
        <v>DL8</v>
      </c>
    </row>
    <row r="107" spans="1:9" x14ac:dyDescent="0.25">
      <c r="A107" s="124" t="s">
        <v>201</v>
      </c>
      <c r="B107" s="124"/>
      <c r="C107" s="124"/>
      <c r="D107" s="124"/>
      <c r="E107" s="124"/>
      <c r="F107" s="124"/>
      <c r="G107" s="124"/>
      <c r="H107" s="124"/>
      <c r="I107" s="124"/>
    </row>
    <row r="108" spans="1:9" x14ac:dyDescent="0.25">
      <c r="A108" s="51" t="s">
        <v>4</v>
      </c>
      <c r="B108" s="52" t="s">
        <v>5</v>
      </c>
      <c r="C108" s="52" t="s">
        <v>6</v>
      </c>
      <c r="D108" s="51" t="s">
        <v>7</v>
      </c>
      <c r="E108" s="51" t="s">
        <v>8</v>
      </c>
      <c r="F108" s="51" t="s">
        <v>9</v>
      </c>
      <c r="G108" s="51" t="s">
        <v>10</v>
      </c>
      <c r="H108" s="52" t="s">
        <v>11</v>
      </c>
      <c r="I108" s="51" t="s">
        <v>12</v>
      </c>
    </row>
    <row r="109" spans="1:9" ht="25.5" x14ac:dyDescent="0.25">
      <c r="A109" s="53" t="s">
        <v>202</v>
      </c>
      <c r="B109" s="9" t="str">
        <f>A109&amp;".In the past 12 months,how many times did you move from one home to another? (99 for DK)"</f>
        <v>DL11.In the past 12 months,how many times did you move from one home to another? (99 for DK)</v>
      </c>
      <c r="C109" s="9" t="s">
        <v>83</v>
      </c>
      <c r="D109" s="54" t="s">
        <v>16</v>
      </c>
      <c r="E109" s="53">
        <v>2</v>
      </c>
      <c r="F109" s="53">
        <f>G106+1</f>
        <v>372</v>
      </c>
      <c r="G109" s="53">
        <f>G106+E109</f>
        <v>373</v>
      </c>
      <c r="H109" s="55" t="s">
        <v>17</v>
      </c>
      <c r="I109" s="54" t="str">
        <f>A109</f>
        <v>DL11</v>
      </c>
    </row>
    <row r="110" spans="1:9" x14ac:dyDescent="0.2">
      <c r="A110" s="53" t="s">
        <v>203</v>
      </c>
      <c r="B110" s="9" t="s">
        <v>204</v>
      </c>
      <c r="C110" s="60" t="s">
        <v>205</v>
      </c>
      <c r="D110" s="54" t="s">
        <v>38</v>
      </c>
      <c r="E110" s="53">
        <v>2</v>
      </c>
      <c r="F110" s="53">
        <f>G109+1</f>
        <v>374</v>
      </c>
      <c r="G110" s="53">
        <f>G109+E110</f>
        <v>375</v>
      </c>
      <c r="H110" s="14" t="s">
        <v>206</v>
      </c>
      <c r="I110" s="54" t="str">
        <f>A110</f>
        <v>DL12</v>
      </c>
    </row>
    <row r="111" spans="1:9" ht="38.25" x14ac:dyDescent="0.25">
      <c r="A111" s="53" t="s">
        <v>207</v>
      </c>
      <c r="B111" s="9" t="s">
        <v>208</v>
      </c>
      <c r="C111" s="9" t="s">
        <v>209</v>
      </c>
      <c r="D111" s="54" t="s">
        <v>38</v>
      </c>
      <c r="E111" s="53">
        <v>2</v>
      </c>
      <c r="F111" s="53">
        <f>G110+1</f>
        <v>376</v>
      </c>
      <c r="G111" s="53">
        <f>G110+E111</f>
        <v>377</v>
      </c>
      <c r="H111" s="55" t="s">
        <v>210</v>
      </c>
      <c r="I111" s="54" t="str">
        <f>A111</f>
        <v>DL13</v>
      </c>
    </row>
    <row r="112" spans="1:9" x14ac:dyDescent="0.25">
      <c r="A112" s="124" t="s">
        <v>211</v>
      </c>
      <c r="B112" s="124"/>
      <c r="C112" s="124"/>
      <c r="D112" s="124"/>
      <c r="E112" s="124"/>
      <c r="F112" s="124"/>
      <c r="G112" s="124"/>
      <c r="H112" s="124"/>
      <c r="I112" s="124"/>
    </row>
    <row r="113" spans="1:9" x14ac:dyDescent="0.25">
      <c r="A113" s="51" t="s">
        <v>4</v>
      </c>
      <c r="B113" s="52" t="s">
        <v>5</v>
      </c>
      <c r="C113" s="52" t="s">
        <v>6</v>
      </c>
      <c r="D113" s="51" t="s">
        <v>7</v>
      </c>
      <c r="E113" s="51" t="s">
        <v>8</v>
      </c>
      <c r="F113" s="51" t="s">
        <v>9</v>
      </c>
      <c r="G113" s="51" t="s">
        <v>10</v>
      </c>
      <c r="H113" s="52" t="s">
        <v>11</v>
      </c>
      <c r="I113" s="51" t="s">
        <v>12</v>
      </c>
    </row>
    <row r="114" spans="1:9" s="3" customFormat="1" ht="76.5" x14ac:dyDescent="0.25">
      <c r="A114" s="53" t="s">
        <v>212</v>
      </c>
      <c r="B114" s="57" t="str">
        <f>A114&amp;".How many members does your household have?"</f>
        <v>DL14.How many members does your household have?</v>
      </c>
      <c r="C114" s="57" t="s">
        <v>213</v>
      </c>
      <c r="D114" s="54" t="s">
        <v>38</v>
      </c>
      <c r="E114" s="64">
        <v>1</v>
      </c>
      <c r="F114" s="53">
        <f>G111+1</f>
        <v>378</v>
      </c>
      <c r="G114" s="53">
        <f>G111+E114</f>
        <v>378</v>
      </c>
      <c r="H114" s="55" t="s">
        <v>17</v>
      </c>
      <c r="I114" s="53" t="str">
        <f t="shared" ref="I114:I122" si="21">A114</f>
        <v>DL14</v>
      </c>
    </row>
    <row r="115" spans="1:9" ht="38.25" x14ac:dyDescent="0.25">
      <c r="A115" s="54" t="s">
        <v>214</v>
      </c>
      <c r="B115" s="9" t="s">
        <v>215</v>
      </c>
      <c r="C115" s="9" t="s">
        <v>216</v>
      </c>
      <c r="D115" s="54" t="s">
        <v>38</v>
      </c>
      <c r="E115" s="54">
        <v>1</v>
      </c>
      <c r="F115" s="54">
        <f t="shared" ref="F115:F125" si="22">G114+1</f>
        <v>379</v>
      </c>
      <c r="G115" s="54">
        <f t="shared" ref="G115:G125" si="23">G114+E115</f>
        <v>379</v>
      </c>
      <c r="H115" s="55" t="s">
        <v>217</v>
      </c>
      <c r="I115" s="54" t="str">
        <f t="shared" si="21"/>
        <v>DL15</v>
      </c>
    </row>
    <row r="116" spans="1:9" ht="127.5" x14ac:dyDescent="0.25">
      <c r="A116" s="54" t="s">
        <v>218</v>
      </c>
      <c r="B116" s="9" t="s">
        <v>219</v>
      </c>
      <c r="C116" s="9" t="s">
        <v>220</v>
      </c>
      <c r="D116" s="54" t="s">
        <v>38</v>
      </c>
      <c r="E116" s="54">
        <v>1</v>
      </c>
      <c r="F116" s="54">
        <f t="shared" si="22"/>
        <v>380</v>
      </c>
      <c r="G116" s="54">
        <f t="shared" si="23"/>
        <v>380</v>
      </c>
      <c r="H116" s="55" t="s">
        <v>217</v>
      </c>
      <c r="I116" s="54" t="str">
        <f t="shared" si="21"/>
        <v>DL16</v>
      </c>
    </row>
    <row r="117" spans="1:9" ht="102" x14ac:dyDescent="0.25">
      <c r="A117" s="54" t="s">
        <v>221</v>
      </c>
      <c r="B117" s="9" t="s">
        <v>222</v>
      </c>
      <c r="C117" s="9" t="s">
        <v>223</v>
      </c>
      <c r="D117" s="54" t="s">
        <v>38</v>
      </c>
      <c r="E117" s="54">
        <v>1</v>
      </c>
      <c r="F117" s="54">
        <f t="shared" si="22"/>
        <v>381</v>
      </c>
      <c r="G117" s="54">
        <f t="shared" si="23"/>
        <v>381</v>
      </c>
      <c r="H117" s="55" t="s">
        <v>217</v>
      </c>
      <c r="I117" s="54" t="str">
        <f t="shared" si="21"/>
        <v>DL17</v>
      </c>
    </row>
    <row r="118" spans="1:9" ht="25.5" x14ac:dyDescent="0.25">
      <c r="A118" s="54" t="s">
        <v>224</v>
      </c>
      <c r="B118" s="9" t="s">
        <v>225</v>
      </c>
      <c r="C118" s="9" t="s">
        <v>226</v>
      </c>
      <c r="D118" s="54" t="s">
        <v>38</v>
      </c>
      <c r="E118" s="54">
        <v>1</v>
      </c>
      <c r="F118" s="54">
        <f t="shared" si="22"/>
        <v>382</v>
      </c>
      <c r="G118" s="54">
        <f t="shared" si="23"/>
        <v>382</v>
      </c>
      <c r="H118" s="55" t="s">
        <v>217</v>
      </c>
      <c r="I118" s="54" t="str">
        <f t="shared" si="21"/>
        <v>DL18</v>
      </c>
    </row>
    <row r="119" spans="1:9" ht="38.25" x14ac:dyDescent="0.25">
      <c r="A119" s="54" t="s">
        <v>227</v>
      </c>
      <c r="B119" s="9" t="s">
        <v>228</v>
      </c>
      <c r="C119" s="57" t="s">
        <v>229</v>
      </c>
      <c r="D119" s="54" t="s">
        <v>38</v>
      </c>
      <c r="E119" s="54">
        <v>1</v>
      </c>
      <c r="F119" s="54">
        <f t="shared" si="22"/>
        <v>383</v>
      </c>
      <c r="G119" s="54">
        <f t="shared" si="23"/>
        <v>383</v>
      </c>
      <c r="H119" s="55" t="s">
        <v>217</v>
      </c>
      <c r="I119" s="54" t="str">
        <f t="shared" si="21"/>
        <v>DL19</v>
      </c>
    </row>
    <row r="120" spans="1:9" ht="38.25" x14ac:dyDescent="0.25">
      <c r="A120" s="54" t="s">
        <v>230</v>
      </c>
      <c r="B120" s="9" t="s">
        <v>231</v>
      </c>
      <c r="C120" s="57" t="s">
        <v>232</v>
      </c>
      <c r="D120" s="54" t="s">
        <v>38</v>
      </c>
      <c r="E120" s="54">
        <v>1</v>
      </c>
      <c r="F120" s="54">
        <f t="shared" si="22"/>
        <v>384</v>
      </c>
      <c r="G120" s="54">
        <f t="shared" si="23"/>
        <v>384</v>
      </c>
      <c r="H120" s="55" t="s">
        <v>217</v>
      </c>
      <c r="I120" s="54" t="str">
        <f t="shared" si="21"/>
        <v>DL20</v>
      </c>
    </row>
    <row r="121" spans="1:9" ht="25.5" x14ac:dyDescent="0.25">
      <c r="A121" s="54" t="s">
        <v>233</v>
      </c>
      <c r="B121" s="9" t="s">
        <v>234</v>
      </c>
      <c r="C121" s="57" t="s">
        <v>235</v>
      </c>
      <c r="D121" s="54" t="s">
        <v>38</v>
      </c>
      <c r="E121" s="54">
        <v>1</v>
      </c>
      <c r="F121" s="54">
        <f t="shared" si="22"/>
        <v>385</v>
      </c>
      <c r="G121" s="54">
        <f t="shared" si="23"/>
        <v>385</v>
      </c>
      <c r="H121" s="55" t="s">
        <v>217</v>
      </c>
      <c r="I121" s="54" t="str">
        <f t="shared" si="21"/>
        <v>DL21</v>
      </c>
    </row>
    <row r="122" spans="1:9" ht="25.5" x14ac:dyDescent="0.25">
      <c r="A122" s="54" t="s">
        <v>236</v>
      </c>
      <c r="B122" s="9" t="s">
        <v>237</v>
      </c>
      <c r="C122" s="57" t="s">
        <v>235</v>
      </c>
      <c r="D122" s="54" t="s">
        <v>38</v>
      </c>
      <c r="E122" s="54">
        <v>1</v>
      </c>
      <c r="F122" s="54">
        <f t="shared" si="22"/>
        <v>386</v>
      </c>
      <c r="G122" s="54">
        <f t="shared" si="23"/>
        <v>386</v>
      </c>
      <c r="H122" s="55" t="s">
        <v>217</v>
      </c>
      <c r="I122" s="54" t="str">
        <f t="shared" si="21"/>
        <v>DL22</v>
      </c>
    </row>
    <row r="123" spans="1:9" ht="25.5" x14ac:dyDescent="0.25">
      <c r="A123" s="54" t="s">
        <v>238</v>
      </c>
      <c r="B123" s="9" t="s">
        <v>239</v>
      </c>
      <c r="C123" s="57" t="s">
        <v>235</v>
      </c>
      <c r="D123" s="54" t="s">
        <v>38</v>
      </c>
      <c r="E123" s="54">
        <v>1</v>
      </c>
      <c r="F123" s="54">
        <f t="shared" si="22"/>
        <v>387</v>
      </c>
      <c r="G123" s="54">
        <f t="shared" si="23"/>
        <v>387</v>
      </c>
      <c r="H123" s="55" t="s">
        <v>217</v>
      </c>
      <c r="I123" s="54" t="s">
        <v>230</v>
      </c>
    </row>
    <row r="124" spans="1:9" ht="140.25" x14ac:dyDescent="0.25">
      <c r="A124" s="54" t="s">
        <v>240</v>
      </c>
      <c r="B124" s="9" t="s">
        <v>241</v>
      </c>
      <c r="C124" s="57" t="s">
        <v>242</v>
      </c>
      <c r="D124" s="53" t="s">
        <v>38</v>
      </c>
      <c r="E124" s="53">
        <v>2</v>
      </c>
      <c r="F124" s="53">
        <f t="shared" si="22"/>
        <v>388</v>
      </c>
      <c r="G124" s="53">
        <f t="shared" si="23"/>
        <v>389</v>
      </c>
      <c r="H124" s="55" t="s">
        <v>17</v>
      </c>
      <c r="I124" s="54" t="str">
        <f>A124</f>
        <v>DL24</v>
      </c>
    </row>
    <row r="125" spans="1:9" ht="25.5" x14ac:dyDescent="0.25">
      <c r="A125" s="54" t="s">
        <v>243</v>
      </c>
      <c r="B125" s="9" t="str">
        <f>A125&amp;".In the last 6 months, has your household ever..."&amp;Other!D2</f>
        <v>DL25.1.In the last 6 months, has your household ever...Gone without enough food to eat</v>
      </c>
      <c r="C125" s="9" t="s">
        <v>142</v>
      </c>
      <c r="D125" s="53" t="s">
        <v>38</v>
      </c>
      <c r="E125" s="53">
        <v>1</v>
      </c>
      <c r="F125" s="53">
        <f t="shared" si="22"/>
        <v>390</v>
      </c>
      <c r="G125" s="53">
        <f t="shared" si="23"/>
        <v>390</v>
      </c>
      <c r="H125" s="55" t="s">
        <v>17</v>
      </c>
      <c r="I125" s="53" t="str">
        <f t="shared" ref="I125:I145" si="24">SUBSTITUTE(A125,".","_")</f>
        <v>DL25_1</v>
      </c>
    </row>
    <row r="126" spans="1:9" ht="25.5" x14ac:dyDescent="0.25">
      <c r="A126" s="54" t="s">
        <v>244</v>
      </c>
      <c r="B126" s="9" t="str">
        <f>A126&amp;".In the last 6 months, has your household ever..."&amp;Other!D3</f>
        <v>DL25.2.In the last 6 months, has your household ever...Gone without fuel to cook food</v>
      </c>
      <c r="C126" s="9" t="s">
        <v>142</v>
      </c>
      <c r="D126" s="53" t="s">
        <v>38</v>
      </c>
      <c r="E126" s="53">
        <v>1</v>
      </c>
      <c r="F126" s="53">
        <f t="shared" ref="F126:F147" si="25">G125+1</f>
        <v>391</v>
      </c>
      <c r="G126" s="53">
        <f t="shared" ref="G126:G134" si="26">G125+E126</f>
        <v>391</v>
      </c>
      <c r="H126" s="55" t="s">
        <v>17</v>
      </c>
      <c r="I126" s="53" t="str">
        <f t="shared" si="24"/>
        <v>DL25_2</v>
      </c>
    </row>
    <row r="127" spans="1:9" ht="25.5" x14ac:dyDescent="0.25">
      <c r="A127" s="54" t="s">
        <v>245</v>
      </c>
      <c r="B127" s="9" t="str">
        <f>A127&amp;".In the last 6 months, has your household ever..."&amp;Other!D4</f>
        <v>DL25.3.In the last 6 months, has your household ever...Needed a doctor but delayed or went without because of shortage of funds</v>
      </c>
      <c r="C127" s="9" t="s">
        <v>142</v>
      </c>
      <c r="D127" s="53" t="s">
        <v>38</v>
      </c>
      <c r="E127" s="53">
        <v>1</v>
      </c>
      <c r="F127" s="53">
        <f t="shared" si="25"/>
        <v>392</v>
      </c>
      <c r="G127" s="53">
        <f t="shared" si="26"/>
        <v>392</v>
      </c>
      <c r="H127" s="55" t="s">
        <v>17</v>
      </c>
      <c r="I127" s="53" t="str">
        <f t="shared" si="24"/>
        <v>DL25_3</v>
      </c>
    </row>
    <row r="128" spans="1:9" ht="25.5" x14ac:dyDescent="0.25">
      <c r="A128" s="54" t="s">
        <v>246</v>
      </c>
      <c r="B128" s="9" t="str">
        <f>A128&amp;".In the last 6 months, has your household ever..."&amp;Other!D5</f>
        <v>DL25.4.In the last 6 months, has your household ever...Needed a veterinarian or vet medicine but went without because of a shortage of funds(pet or livestock)</v>
      </c>
      <c r="C128" s="9" t="s">
        <v>142</v>
      </c>
      <c r="D128" s="53" t="s">
        <v>38</v>
      </c>
      <c r="E128" s="53">
        <v>1</v>
      </c>
      <c r="F128" s="53">
        <f t="shared" si="25"/>
        <v>393</v>
      </c>
      <c r="G128" s="53">
        <f t="shared" si="26"/>
        <v>393</v>
      </c>
      <c r="H128" s="55" t="s">
        <v>17</v>
      </c>
      <c r="I128" s="53" t="str">
        <f t="shared" si="24"/>
        <v>DL25_4</v>
      </c>
    </row>
    <row r="129" spans="1:9" ht="25.5" x14ac:dyDescent="0.25">
      <c r="A129" s="54" t="s">
        <v>247</v>
      </c>
      <c r="B129" s="9" t="str">
        <f>A129&amp;".In the last 6 months, has your household ever..."&amp;Other!D6</f>
        <v>DL25.5.In the last 6 months, has your household ever...Needed fertilizer for the farm but went without because of a shortage of funds</v>
      </c>
      <c r="C129" s="9" t="s">
        <v>142</v>
      </c>
      <c r="D129" s="53" t="s">
        <v>38</v>
      </c>
      <c r="E129" s="53">
        <v>1</v>
      </c>
      <c r="F129" s="53">
        <f t="shared" si="25"/>
        <v>394</v>
      </c>
      <c r="G129" s="53">
        <f t="shared" si="26"/>
        <v>394</v>
      </c>
      <c r="H129" s="55" t="s">
        <v>17</v>
      </c>
      <c r="I129" s="53" t="str">
        <f t="shared" si="24"/>
        <v>DL25_5</v>
      </c>
    </row>
    <row r="130" spans="1:9" ht="38.25" x14ac:dyDescent="0.25">
      <c r="A130" s="54" t="s">
        <v>248</v>
      </c>
      <c r="B130" s="9" t="str">
        <f>A130&amp;".In the last 6 months, has your household ever..."&amp;Other!D7</f>
        <v>DL25.6.In the last 6 months, has your household ever...Needed stock for my business but couldn’t buy stock because of a shortage of funds; had to close down temporarily or completely</v>
      </c>
      <c r="C130" s="9" t="s">
        <v>142</v>
      </c>
      <c r="D130" s="53" t="s">
        <v>38</v>
      </c>
      <c r="E130" s="53">
        <v>1</v>
      </c>
      <c r="F130" s="53">
        <f t="shared" si="25"/>
        <v>395</v>
      </c>
      <c r="G130" s="53">
        <f t="shared" si="26"/>
        <v>395</v>
      </c>
      <c r="H130" s="55" t="s">
        <v>17</v>
      </c>
      <c r="I130" s="53" t="str">
        <f t="shared" si="24"/>
        <v>DL25_6</v>
      </c>
    </row>
    <row r="131" spans="1:9" ht="25.5" x14ac:dyDescent="0.25">
      <c r="A131" s="53" t="s">
        <v>249</v>
      </c>
      <c r="B131" s="9" t="str">
        <f>A131&amp;".In the last 6 months, has your household ever..."&amp;Other!D8</f>
        <v>DL25.7.In the last 6 months, has your household ever...Had a child sent home from school because of unpaid school fees</v>
      </c>
      <c r="C131" s="9" t="s">
        <v>142</v>
      </c>
      <c r="D131" s="53" t="s">
        <v>38</v>
      </c>
      <c r="E131" s="53">
        <v>1</v>
      </c>
      <c r="F131" s="53">
        <f t="shared" si="25"/>
        <v>396</v>
      </c>
      <c r="G131" s="53">
        <f t="shared" si="26"/>
        <v>396</v>
      </c>
      <c r="H131" s="55" t="s">
        <v>17</v>
      </c>
      <c r="I131" s="53" t="str">
        <f t="shared" si="24"/>
        <v>DL25_7</v>
      </c>
    </row>
    <row r="132" spans="1:9" ht="25.5" x14ac:dyDescent="0.25">
      <c r="A132" s="53" t="s">
        <v>250</v>
      </c>
      <c r="B132" s="9" t="str">
        <f>A132&amp;".In the last 6 months, has your household ever..."&amp;Other!D9</f>
        <v>DL25.8.In the last 6 months, has your household ever...Had to miss an important family event (funeral, wedding, etc.) because couldn’t pay for transportation</v>
      </c>
      <c r="C132" s="9" t="s">
        <v>142</v>
      </c>
      <c r="D132" s="53" t="s">
        <v>38</v>
      </c>
      <c r="E132" s="53">
        <v>1</v>
      </c>
      <c r="F132" s="53">
        <f t="shared" si="25"/>
        <v>397</v>
      </c>
      <c r="G132" s="53">
        <f t="shared" si="26"/>
        <v>397</v>
      </c>
      <c r="H132" s="55" t="s">
        <v>17</v>
      </c>
      <c r="I132" s="53" t="str">
        <f t="shared" si="24"/>
        <v>DL25_8</v>
      </c>
    </row>
    <row r="133" spans="1:9" ht="25.5" x14ac:dyDescent="0.25">
      <c r="A133" s="53" t="s">
        <v>251</v>
      </c>
      <c r="B133" s="9" t="str">
        <f>A133&amp;". Which of the following has happened in your household in the last 2 years? "&amp;'vDL26&amp;27'!B2</f>
        <v>DL26.1. Which of the following has happened in your household in the last 2 years? Flood, fire or other natural disaster destroys house/property/business</v>
      </c>
      <c r="C133" s="9" t="s">
        <v>142</v>
      </c>
      <c r="D133" s="53" t="s">
        <v>38</v>
      </c>
      <c r="E133" s="53">
        <v>1</v>
      </c>
      <c r="F133" s="53">
        <f t="shared" si="25"/>
        <v>398</v>
      </c>
      <c r="G133" s="53">
        <f t="shared" si="26"/>
        <v>398</v>
      </c>
      <c r="H133" s="55" t="s">
        <v>17</v>
      </c>
      <c r="I133" s="53" t="str">
        <f t="shared" si="24"/>
        <v>DL26_1</v>
      </c>
    </row>
    <row r="134" spans="1:9" ht="25.5" x14ac:dyDescent="0.25">
      <c r="A134" s="53" t="s">
        <v>252</v>
      </c>
      <c r="B134" s="9" t="str">
        <f>A134&amp;". Which of the following has happened in your household in the last 2 years? "&amp;'vDL26&amp;27'!B3</f>
        <v>DL26.2. Which of the following has happened in your household in the last 2 years? Theft, burglary or other man-caused loss of house/property/family land/business</v>
      </c>
      <c r="C134" s="9" t="s">
        <v>142</v>
      </c>
      <c r="D134" s="53" t="s">
        <v>38</v>
      </c>
      <c r="E134" s="53">
        <v>1</v>
      </c>
      <c r="F134" s="53">
        <f t="shared" si="25"/>
        <v>399</v>
      </c>
      <c r="G134" s="53">
        <f t="shared" si="26"/>
        <v>399</v>
      </c>
      <c r="H134" s="55" t="s">
        <v>17</v>
      </c>
      <c r="I134" s="53" t="str">
        <f t="shared" si="24"/>
        <v>DL26_2</v>
      </c>
    </row>
    <row r="135" spans="1:9" ht="38.25" x14ac:dyDescent="0.25">
      <c r="A135" s="53" t="s">
        <v>253</v>
      </c>
      <c r="B135" s="9" t="str">
        <f>A135&amp;". Which of the following has happened in your household in the last 2 years? "&amp;'vDL26&amp;27'!B4</f>
        <v>DL26.3. Which of the following has happened in your household in the last 2 years? Bad weather or pests destroy all or part of crops or your livestock dies due to a disease</v>
      </c>
      <c r="C135" s="9" t="s">
        <v>142</v>
      </c>
      <c r="D135" s="53" t="s">
        <v>38</v>
      </c>
      <c r="E135" s="53">
        <v>1</v>
      </c>
      <c r="F135" s="53">
        <f t="shared" si="25"/>
        <v>400</v>
      </c>
      <c r="G135" s="53">
        <f t="shared" ref="G135:G147" si="27">G134+E135</f>
        <v>400</v>
      </c>
      <c r="H135" s="55" t="s">
        <v>17</v>
      </c>
      <c r="I135" s="53" t="str">
        <f t="shared" si="24"/>
        <v>DL26_3</v>
      </c>
    </row>
    <row r="136" spans="1:9" ht="25.5" x14ac:dyDescent="0.25">
      <c r="A136" s="53" t="s">
        <v>254</v>
      </c>
      <c r="B136" s="9" t="str">
        <f>A136&amp;". Which of the following has happened in your household in the last 2 years? "&amp;'vDL26&amp;27'!B5</f>
        <v>DL26.4. Which of the following has happened in your household in the last 2 years? Job loss, reduced income of main wage-earner</v>
      </c>
      <c r="C136" s="9" t="s">
        <v>142</v>
      </c>
      <c r="D136" s="53" t="s">
        <v>38</v>
      </c>
      <c r="E136" s="53">
        <v>1</v>
      </c>
      <c r="F136" s="53">
        <f t="shared" si="25"/>
        <v>401</v>
      </c>
      <c r="G136" s="53">
        <f t="shared" si="27"/>
        <v>401</v>
      </c>
      <c r="H136" s="55" t="s">
        <v>17</v>
      </c>
      <c r="I136" s="53" t="str">
        <f t="shared" si="24"/>
        <v>DL26_4</v>
      </c>
    </row>
    <row r="137" spans="1:9" ht="25.5" x14ac:dyDescent="0.25">
      <c r="A137" s="53" t="s">
        <v>255</v>
      </c>
      <c r="B137" s="9" t="str">
        <f>A137&amp;". Which of the following has happened in your household in the last 2 years? "&amp;'vDL26&amp;27'!B6</f>
        <v>DL26.5. Which of the following has happened in your household in the last 2 years? Death of main income-earner</v>
      </c>
      <c r="C137" s="9" t="s">
        <v>142</v>
      </c>
      <c r="D137" s="53" t="s">
        <v>38</v>
      </c>
      <c r="E137" s="53">
        <v>1</v>
      </c>
      <c r="F137" s="53">
        <f t="shared" si="25"/>
        <v>402</v>
      </c>
      <c r="G137" s="53">
        <f t="shared" si="27"/>
        <v>402</v>
      </c>
      <c r="H137" s="55" t="s">
        <v>17</v>
      </c>
      <c r="I137" s="53" t="str">
        <f t="shared" si="24"/>
        <v>DL26_5</v>
      </c>
    </row>
    <row r="138" spans="1:9" ht="38.25" x14ac:dyDescent="0.25">
      <c r="A138" s="53" t="s">
        <v>256</v>
      </c>
      <c r="B138" s="9" t="str">
        <f>A138&amp;". Which of the following has happened in your household in the last 2 years? "&amp;'vDL26&amp;27'!B7</f>
        <v>DL26.6. Which of the following has happened in your household in the last 2 years? Increase in costs of agricultural inputs, other additional expenses related to your farm/business</v>
      </c>
      <c r="C138" s="9" t="s">
        <v>142</v>
      </c>
      <c r="D138" s="53" t="s">
        <v>38</v>
      </c>
      <c r="E138" s="53">
        <v>1</v>
      </c>
      <c r="F138" s="53">
        <f t="shared" si="25"/>
        <v>403</v>
      </c>
      <c r="G138" s="53">
        <f t="shared" si="27"/>
        <v>403</v>
      </c>
      <c r="H138" s="55" t="s">
        <v>17</v>
      </c>
      <c r="I138" s="53" t="str">
        <f t="shared" si="24"/>
        <v>DL26_6</v>
      </c>
    </row>
    <row r="139" spans="1:9" ht="25.5" x14ac:dyDescent="0.25">
      <c r="A139" s="53" t="s">
        <v>257</v>
      </c>
      <c r="B139" s="9" t="str">
        <f>A139&amp;". Which of the following has happened in your household in the last 2 years? "&amp;'vDL26&amp;27'!B8</f>
        <v>DL26.7. Which of the following has happened in your household in the last 2 years? Decrease in price of crop or livestock other goods you sold</v>
      </c>
      <c r="C139" s="9" t="s">
        <v>142</v>
      </c>
      <c r="D139" s="53" t="s">
        <v>38</v>
      </c>
      <c r="E139" s="53">
        <v>1</v>
      </c>
      <c r="F139" s="53">
        <f t="shared" si="25"/>
        <v>404</v>
      </c>
      <c r="G139" s="53">
        <f t="shared" si="27"/>
        <v>404</v>
      </c>
      <c r="H139" s="55" t="s">
        <v>17</v>
      </c>
      <c r="I139" s="53" t="str">
        <f t="shared" si="24"/>
        <v>DL26_7</v>
      </c>
    </row>
    <row r="140" spans="1:9" ht="25.5" x14ac:dyDescent="0.25">
      <c r="A140" s="53" t="s">
        <v>258</v>
      </c>
      <c r="B140" s="9" t="str">
        <f>A140&amp;". Which of the following has happened in your household in the last 2 years? "&amp;'vDL26&amp;27'!B9</f>
        <v>DL26.8. Which of the following has happened in your household in the last 2 years? Loss of cash, including savings</v>
      </c>
      <c r="C140" s="9" t="s">
        <v>142</v>
      </c>
      <c r="D140" s="53" t="s">
        <v>38</v>
      </c>
      <c r="E140" s="53">
        <v>1</v>
      </c>
      <c r="F140" s="53">
        <f t="shared" si="25"/>
        <v>405</v>
      </c>
      <c r="G140" s="53">
        <f t="shared" si="27"/>
        <v>405</v>
      </c>
      <c r="H140" s="55" t="s">
        <v>17</v>
      </c>
      <c r="I140" s="53" t="str">
        <f t="shared" si="24"/>
        <v>DL26_8</v>
      </c>
    </row>
    <row r="141" spans="1:9" ht="25.5" x14ac:dyDescent="0.25">
      <c r="A141" s="53" t="s">
        <v>259</v>
      </c>
      <c r="B141" s="9" t="str">
        <f>A141&amp;". Which of the following has happened in your household in the last 2 years? "&amp;'vDL26&amp;27'!B10</f>
        <v>DL26.9. Which of the following has happened in your household in the last 2 years? Major medical emergency or large medical expenses, including birth in the family</v>
      </c>
      <c r="C141" s="9" t="s">
        <v>142</v>
      </c>
      <c r="D141" s="53" t="s">
        <v>38</v>
      </c>
      <c r="E141" s="53">
        <v>1</v>
      </c>
      <c r="F141" s="53">
        <f t="shared" si="25"/>
        <v>406</v>
      </c>
      <c r="G141" s="53">
        <f t="shared" si="27"/>
        <v>406</v>
      </c>
      <c r="H141" s="55" t="s">
        <v>17</v>
      </c>
      <c r="I141" s="53" t="str">
        <f t="shared" si="24"/>
        <v>DL26_9</v>
      </c>
    </row>
    <row r="142" spans="1:9" ht="25.5" x14ac:dyDescent="0.25">
      <c r="A142" s="53" t="s">
        <v>260</v>
      </c>
      <c r="B142" s="9" t="str">
        <f>A142&amp;". Which of the following has happened in your household in the last 2 years? "&amp;'vDL26&amp;27'!B11</f>
        <v>DL26.10. Which of the following has happened in your household in the last 2 years? Divorce, family separation</v>
      </c>
      <c r="C142" s="9" t="s">
        <v>142</v>
      </c>
      <c r="D142" s="53" t="s">
        <v>38</v>
      </c>
      <c r="E142" s="53">
        <v>1</v>
      </c>
      <c r="F142" s="53">
        <f t="shared" si="25"/>
        <v>407</v>
      </c>
      <c r="G142" s="53">
        <f t="shared" si="27"/>
        <v>407</v>
      </c>
      <c r="H142" s="55" t="s">
        <v>17</v>
      </c>
      <c r="I142" s="53" t="str">
        <f t="shared" si="24"/>
        <v>DL26_10</v>
      </c>
    </row>
    <row r="143" spans="1:9" ht="25.5" x14ac:dyDescent="0.25">
      <c r="A143" s="53" t="s">
        <v>261</v>
      </c>
      <c r="B143" s="9" t="str">
        <f>A143&amp;". Which of the following has happened in your household in the last 2 years? "&amp;'vDL26&amp;27'!B12</f>
        <v>DL26.11. Which of the following has happened in your household in the last 2 years? None</v>
      </c>
      <c r="C143" s="9" t="s">
        <v>142</v>
      </c>
      <c r="D143" s="53" t="s">
        <v>38</v>
      </c>
      <c r="E143" s="53">
        <v>1</v>
      </c>
      <c r="F143" s="53">
        <f t="shared" si="25"/>
        <v>408</v>
      </c>
      <c r="G143" s="53">
        <f t="shared" si="27"/>
        <v>408</v>
      </c>
      <c r="H143" s="55" t="s">
        <v>17</v>
      </c>
      <c r="I143" s="53" t="str">
        <f t="shared" si="24"/>
        <v>DL26_11</v>
      </c>
    </row>
    <row r="144" spans="1:9" ht="25.5" x14ac:dyDescent="0.25">
      <c r="A144" s="53" t="s">
        <v>262</v>
      </c>
      <c r="B144" s="9" t="str">
        <f>A144&amp;". Which of the following has happened in your household in the last 2 years? "&amp;'vDL26&amp;27'!B13</f>
        <v>DL26.96. Which of the following has happened in your household in the last 2 years? Other(Specify)</v>
      </c>
      <c r="C144" s="9" t="s">
        <v>142</v>
      </c>
      <c r="D144" s="53" t="s">
        <v>38</v>
      </c>
      <c r="E144" s="53">
        <v>1</v>
      </c>
      <c r="F144" s="53">
        <f t="shared" si="25"/>
        <v>409</v>
      </c>
      <c r="G144" s="53">
        <f t="shared" si="27"/>
        <v>409</v>
      </c>
      <c r="H144" s="55" t="s">
        <v>17</v>
      </c>
      <c r="I144" s="53" t="str">
        <f t="shared" si="24"/>
        <v>DL26_96</v>
      </c>
    </row>
    <row r="145" spans="1:9" ht="25.5" x14ac:dyDescent="0.25">
      <c r="A145" s="53" t="s">
        <v>263</v>
      </c>
      <c r="B145" s="9" t="str">
        <f>A145&amp;". Which of the following has happened in your household in the last 2 years? "&amp;'vDL26&amp;27'!B14</f>
        <v>DL26.99. Which of the following has happened in your household in the last 2 years? DK</v>
      </c>
      <c r="C145" s="9" t="s">
        <v>142</v>
      </c>
      <c r="D145" s="53" t="s">
        <v>38</v>
      </c>
      <c r="E145" s="53">
        <v>1</v>
      </c>
      <c r="F145" s="53">
        <f>G144+1</f>
        <v>410</v>
      </c>
      <c r="G145" s="53">
        <f>G144+E145</f>
        <v>410</v>
      </c>
      <c r="H145" s="55" t="s">
        <v>17</v>
      </c>
      <c r="I145" s="53" t="str">
        <f t="shared" si="24"/>
        <v>DL26_99</v>
      </c>
    </row>
    <row r="146" spans="1:9" ht="51" x14ac:dyDescent="0.25">
      <c r="A146" s="53" t="s">
        <v>264</v>
      </c>
      <c r="B146" s="57" t="str">
        <f>A146&amp;".Which of these events made the biggest impact on your household income in the last two years? "</f>
        <v xml:space="preserve">DL27.Which of these events made the biggest impact on your household income in the last two years? </v>
      </c>
      <c r="C146" s="62" t="s">
        <v>265</v>
      </c>
      <c r="D146" s="53" t="s">
        <v>38</v>
      </c>
      <c r="E146" s="53">
        <v>2</v>
      </c>
      <c r="F146" s="53">
        <f>G145+1</f>
        <v>411</v>
      </c>
      <c r="G146" s="53">
        <f>G145+E146</f>
        <v>412</v>
      </c>
      <c r="H146" s="14" t="s">
        <v>266</v>
      </c>
      <c r="I146" s="54" t="str">
        <f>LEFT(A146,4)</f>
        <v>DL27</v>
      </c>
    </row>
    <row r="147" spans="1:9" s="3" customFormat="1" ht="25.5" x14ac:dyDescent="0.25">
      <c r="A147" s="53" t="s">
        <v>267</v>
      </c>
      <c r="B147" s="57" t="s">
        <v>268</v>
      </c>
      <c r="C147" s="62" t="s">
        <v>269</v>
      </c>
      <c r="D147" s="53" t="s">
        <v>38</v>
      </c>
      <c r="E147" s="53">
        <v>2</v>
      </c>
      <c r="F147" s="53">
        <f t="shared" si="25"/>
        <v>413</v>
      </c>
      <c r="G147" s="53">
        <f t="shared" si="27"/>
        <v>414</v>
      </c>
      <c r="H147" s="14" t="s">
        <v>270</v>
      </c>
      <c r="I147" s="53" t="str">
        <f>LEFT(A147,4)</f>
        <v>DL28</v>
      </c>
    </row>
    <row r="148" spans="1:9" x14ac:dyDescent="0.25">
      <c r="A148" s="124" t="s">
        <v>2317</v>
      </c>
      <c r="B148" s="124"/>
      <c r="C148" s="124"/>
      <c r="D148" s="124"/>
      <c r="E148" s="124"/>
      <c r="F148" s="124"/>
      <c r="G148" s="124"/>
      <c r="H148" s="124"/>
      <c r="I148" s="124"/>
    </row>
    <row r="149" spans="1:9" ht="15" customHeight="1" x14ac:dyDescent="0.25">
      <c r="A149" s="51" t="s">
        <v>4</v>
      </c>
      <c r="B149" s="52" t="s">
        <v>5</v>
      </c>
      <c r="C149" s="52" t="s">
        <v>6</v>
      </c>
      <c r="D149" s="51" t="s">
        <v>7</v>
      </c>
      <c r="E149" s="51" t="s">
        <v>8</v>
      </c>
      <c r="F149" s="51" t="s">
        <v>9</v>
      </c>
      <c r="G149" s="51" t="s">
        <v>10</v>
      </c>
      <c r="H149" s="52" t="s">
        <v>11</v>
      </c>
      <c r="I149" s="51" t="s">
        <v>12</v>
      </c>
    </row>
    <row r="150" spans="1:9" s="117" customFormat="1" ht="25.5" x14ac:dyDescent="0.25">
      <c r="A150" s="53" t="s">
        <v>2318</v>
      </c>
      <c r="B150" s="57" t="str">
        <f>A150&amp;".You mentioned that you are receiving payments from the government that are not salary payments. Do you receive any of the following payments? "&amp;Other!AO2</f>
        <v>G2P1.1.You mentioned that you are receiving payments from the government that are not salary payments. Do you receive any of the following payments? PKH</v>
      </c>
      <c r="C150" s="57" t="s">
        <v>92</v>
      </c>
      <c r="D150" s="53" t="s">
        <v>38</v>
      </c>
      <c r="E150" s="53">
        <v>1</v>
      </c>
      <c r="F150" s="53">
        <f>G147+1</f>
        <v>415</v>
      </c>
      <c r="G150" s="53">
        <f>G147+E150</f>
        <v>415</v>
      </c>
      <c r="H150" s="14" t="s">
        <v>2319</v>
      </c>
      <c r="I150" s="53" t="str">
        <f t="shared" ref="I150:I171" si="28">SUBSTITUTE(A150,".","_")</f>
        <v>G2P1_1</v>
      </c>
    </row>
    <row r="151" spans="1:9" s="117" customFormat="1" ht="38.25" x14ac:dyDescent="0.25">
      <c r="A151" s="53" t="s">
        <v>2320</v>
      </c>
      <c r="B151" s="57" t="str">
        <f>A151&amp;".You mentioned that you are receiving payments from the government that are not salary payments. Do you receive any of the following payments? "&amp;Other!AO3</f>
        <v>G2P1.2.You mentioned that you are receiving payments from the government that are not salary payments. Do you receive any of the following payments? Fertilizer Subsidies </v>
      </c>
      <c r="C151" s="57" t="s">
        <v>92</v>
      </c>
      <c r="D151" s="53" t="s">
        <v>38</v>
      </c>
      <c r="E151" s="53">
        <v>1</v>
      </c>
      <c r="F151" s="53">
        <f t="shared" ref="F151:F164" si="29">G150+1</f>
        <v>416</v>
      </c>
      <c r="G151" s="53">
        <f t="shared" ref="G151:G164" si="30">G150+E151</f>
        <v>416</v>
      </c>
      <c r="H151" s="14" t="s">
        <v>2319</v>
      </c>
      <c r="I151" s="53" t="str">
        <f t="shared" si="28"/>
        <v>G2P1_2</v>
      </c>
    </row>
    <row r="152" spans="1:9" s="117" customFormat="1" ht="25.5" x14ac:dyDescent="0.25">
      <c r="A152" s="53" t="s">
        <v>2321</v>
      </c>
      <c r="B152" s="57" t="str">
        <f>A152&amp;".You mentioned that you are receiving payments from the government that are not salary payments. Do you receive any of the following payments? "&amp;Other!AO4</f>
        <v>G2P1.3.You mentioned that you are receiving payments from the government that are not salary payments. Do you receive any of the following payments? BSM</v>
      </c>
      <c r="C152" s="57" t="s">
        <v>92</v>
      </c>
      <c r="D152" s="53" t="s">
        <v>38</v>
      </c>
      <c r="E152" s="53">
        <v>1</v>
      </c>
      <c r="F152" s="53">
        <f t="shared" si="29"/>
        <v>417</v>
      </c>
      <c r="G152" s="53">
        <f t="shared" si="30"/>
        <v>417</v>
      </c>
      <c r="H152" s="14" t="s">
        <v>2319</v>
      </c>
      <c r="I152" s="53" t="str">
        <f t="shared" si="28"/>
        <v>G2P1_3</v>
      </c>
    </row>
    <row r="153" spans="1:9" s="117" customFormat="1" ht="25.5" x14ac:dyDescent="0.25">
      <c r="A153" s="53" t="s">
        <v>2322</v>
      </c>
      <c r="B153" s="57" t="str">
        <f>A153&amp;".You mentioned that you are receiving payments from the government that are not salary payments. Do you receive any of the following payments? "&amp;Other!AO5</f>
        <v>G2P1.4.You mentioned that you are receiving payments from the government that are not salary payments. Do you receive any of the following payments? PNPM</v>
      </c>
      <c r="C153" s="57" t="s">
        <v>92</v>
      </c>
      <c r="D153" s="53" t="s">
        <v>38</v>
      </c>
      <c r="E153" s="53">
        <v>1</v>
      </c>
      <c r="F153" s="53">
        <f t="shared" si="29"/>
        <v>418</v>
      </c>
      <c r="G153" s="53">
        <f t="shared" si="30"/>
        <v>418</v>
      </c>
      <c r="H153" s="14" t="s">
        <v>2319</v>
      </c>
      <c r="I153" s="53" t="str">
        <f t="shared" si="28"/>
        <v>G2P1_4</v>
      </c>
    </row>
    <row r="154" spans="1:9" s="117" customFormat="1" ht="25.5" x14ac:dyDescent="0.25">
      <c r="A154" s="53" t="s">
        <v>2323</v>
      </c>
      <c r="B154" s="57" t="str">
        <f>A154&amp;".You mentioned that you are receiving payments from the government that are not salary payments. Do you receive any of the following payments? "&amp;Other!AO6</f>
        <v>G2P1.5.You mentioned that you are receiving payments from the government that are not salary payments. Do you receive any of the following payments? BPJS</v>
      </c>
      <c r="C154" s="57" t="s">
        <v>92</v>
      </c>
      <c r="D154" s="53" t="s">
        <v>38</v>
      </c>
      <c r="E154" s="53">
        <v>1</v>
      </c>
      <c r="F154" s="53">
        <f t="shared" si="29"/>
        <v>419</v>
      </c>
      <c r="G154" s="53">
        <f t="shared" si="30"/>
        <v>419</v>
      </c>
      <c r="H154" s="14" t="s">
        <v>2319</v>
      </c>
      <c r="I154" s="53" t="str">
        <f t="shared" si="28"/>
        <v>G2P1_5</v>
      </c>
    </row>
    <row r="155" spans="1:9" s="117" customFormat="1" ht="25.5" x14ac:dyDescent="0.25">
      <c r="A155" s="53" t="s">
        <v>2324</v>
      </c>
      <c r="B155" s="57" t="str">
        <f>A155&amp;".You mentioned that you are receiving payments from the government that are not salary payments. Do you receive any of the following payments? "&amp;Other!AO7</f>
        <v>G2P1.6.You mentioned that you are receiving payments from the government that are not salary payments. Do you receive any of the following payments? BLT</v>
      </c>
      <c r="C155" s="57" t="s">
        <v>92</v>
      </c>
      <c r="D155" s="53" t="s">
        <v>38</v>
      </c>
      <c r="E155" s="53">
        <v>1</v>
      </c>
      <c r="F155" s="53">
        <f t="shared" si="29"/>
        <v>420</v>
      </c>
      <c r="G155" s="53">
        <f t="shared" si="30"/>
        <v>420</v>
      </c>
      <c r="H155" s="14" t="s">
        <v>2319</v>
      </c>
      <c r="I155" s="53" t="str">
        <f t="shared" si="28"/>
        <v>G2P1_6</v>
      </c>
    </row>
    <row r="156" spans="1:9" s="117" customFormat="1" ht="45.75" customHeight="1" x14ac:dyDescent="0.25">
      <c r="A156" s="53" t="s">
        <v>2325</v>
      </c>
      <c r="B156" s="57" t="str">
        <f>A156&amp;".You mentioned that you are receiving payments from the government that are not salary payments. Do you receive any of the following payments? "&amp;Other!AO8</f>
        <v>G2P1.96.You mentioned that you are receiving payments from the government that are not salary payments. Do you receive any of the following payments? Other(Specify)</v>
      </c>
      <c r="C156" s="57" t="s">
        <v>92</v>
      </c>
      <c r="D156" s="53" t="s">
        <v>38</v>
      </c>
      <c r="E156" s="53">
        <v>1</v>
      </c>
      <c r="F156" s="53">
        <f t="shared" si="29"/>
        <v>421</v>
      </c>
      <c r="G156" s="53">
        <f t="shared" si="30"/>
        <v>421</v>
      </c>
      <c r="H156" s="14" t="s">
        <v>2319</v>
      </c>
      <c r="I156" s="53" t="str">
        <f t="shared" si="28"/>
        <v>G2P1_96</v>
      </c>
    </row>
    <row r="157" spans="1:9" s="117" customFormat="1" ht="25.5" x14ac:dyDescent="0.25">
      <c r="A157" s="53" t="s">
        <v>2326</v>
      </c>
      <c r="B157" s="57" t="str">
        <f>A157&amp;".You mentioned that you are receiving payments from the government that are not salary payments. Do you receive any of the following payments? "&amp;Other!AO9</f>
        <v>G2P1.99.You mentioned that you are receiving payments from the government that are not salary payments. Do you receive any of the following payments? DK</v>
      </c>
      <c r="C157" s="57" t="s">
        <v>92</v>
      </c>
      <c r="D157" s="53" t="s">
        <v>38</v>
      </c>
      <c r="E157" s="53">
        <v>1</v>
      </c>
      <c r="F157" s="53">
        <f t="shared" si="29"/>
        <v>422</v>
      </c>
      <c r="G157" s="53">
        <f t="shared" si="30"/>
        <v>422</v>
      </c>
      <c r="H157" s="14" t="s">
        <v>2319</v>
      </c>
      <c r="I157" s="53" t="str">
        <f t="shared" si="28"/>
        <v>G2P1_99</v>
      </c>
    </row>
    <row r="158" spans="1:9" s="117" customFormat="1" ht="15" x14ac:dyDescent="0.25">
      <c r="A158" s="53" t="s">
        <v>2327</v>
      </c>
      <c r="B158" s="57" t="str">
        <f>A158&amp;". How was the payment delivered?"&amp;Other!AO2</f>
        <v>G2P2.1. How was the payment delivered?PKH</v>
      </c>
      <c r="C158" s="118" t="s">
        <v>2342</v>
      </c>
      <c r="D158" s="53" t="s">
        <v>38</v>
      </c>
      <c r="E158" s="53">
        <v>2</v>
      </c>
      <c r="F158" s="53">
        <f t="shared" ref="F158" si="31">G157+1</f>
        <v>423</v>
      </c>
      <c r="G158" s="53">
        <f t="shared" ref="G158" si="32">G157+E158</f>
        <v>424</v>
      </c>
      <c r="H158" s="14" t="s">
        <v>2344</v>
      </c>
      <c r="I158" s="53" t="str">
        <f t="shared" si="28"/>
        <v>G2P2_1</v>
      </c>
    </row>
    <row r="159" spans="1:9" s="117" customFormat="1" ht="15" x14ac:dyDescent="0.25">
      <c r="A159" s="53" t="s">
        <v>2328</v>
      </c>
      <c r="B159" s="57" t="str">
        <f>A159&amp;". How was the payment delivered?"&amp;Other!AO3</f>
        <v>G2P2.2. How was the payment delivered?Fertilizer Subsidies </v>
      </c>
      <c r="C159" s="118" t="s">
        <v>2342</v>
      </c>
      <c r="D159" s="53" t="s">
        <v>38</v>
      </c>
      <c r="E159" s="53">
        <v>2</v>
      </c>
      <c r="F159" s="53">
        <f t="shared" si="29"/>
        <v>425</v>
      </c>
      <c r="G159" s="53">
        <f t="shared" si="30"/>
        <v>426</v>
      </c>
      <c r="H159" s="14" t="s">
        <v>2345</v>
      </c>
      <c r="I159" s="53" t="str">
        <f t="shared" si="28"/>
        <v>G2P2_2</v>
      </c>
    </row>
    <row r="160" spans="1:9" s="117" customFormat="1" ht="15" x14ac:dyDescent="0.25">
      <c r="A160" s="53" t="s">
        <v>2329</v>
      </c>
      <c r="B160" s="57" t="str">
        <f>A160&amp;". How was the payment delivered?"&amp;Other!AO4</f>
        <v>G2P2.3. How was the payment delivered?BSM</v>
      </c>
      <c r="C160" s="118" t="s">
        <v>2342</v>
      </c>
      <c r="D160" s="53" t="s">
        <v>38</v>
      </c>
      <c r="E160" s="53">
        <v>2</v>
      </c>
      <c r="F160" s="53">
        <f t="shared" si="29"/>
        <v>427</v>
      </c>
      <c r="G160" s="53">
        <f t="shared" si="30"/>
        <v>428</v>
      </c>
      <c r="H160" s="14" t="s">
        <v>2346</v>
      </c>
      <c r="I160" s="53" t="str">
        <f t="shared" si="28"/>
        <v>G2P2_3</v>
      </c>
    </row>
    <row r="161" spans="1:9" s="117" customFormat="1" ht="15" x14ac:dyDescent="0.25">
      <c r="A161" s="53" t="s">
        <v>2330</v>
      </c>
      <c r="B161" s="57" t="str">
        <f>A161&amp;". How was the payment delivered?"&amp;Other!AO5</f>
        <v>G2P2.4. How was the payment delivered?PNPM</v>
      </c>
      <c r="C161" s="118" t="s">
        <v>2342</v>
      </c>
      <c r="D161" s="53" t="s">
        <v>38</v>
      </c>
      <c r="E161" s="53">
        <v>2</v>
      </c>
      <c r="F161" s="53">
        <f t="shared" si="29"/>
        <v>429</v>
      </c>
      <c r="G161" s="53">
        <f t="shared" si="30"/>
        <v>430</v>
      </c>
      <c r="H161" s="14" t="s">
        <v>2347</v>
      </c>
      <c r="I161" s="53" t="str">
        <f t="shared" si="28"/>
        <v>G2P2_4</v>
      </c>
    </row>
    <row r="162" spans="1:9" s="90" customFormat="1" ht="15" x14ac:dyDescent="0.25">
      <c r="A162" s="53" t="s">
        <v>2331</v>
      </c>
      <c r="B162" s="57" t="str">
        <f>A162&amp;". How was the payment delivered?"&amp;Other!AO6</f>
        <v>G2P2.5. How was the payment delivered?BPJS</v>
      </c>
      <c r="C162" s="118" t="s">
        <v>2342</v>
      </c>
      <c r="D162" s="53" t="s">
        <v>38</v>
      </c>
      <c r="E162" s="53">
        <v>2</v>
      </c>
      <c r="F162" s="53">
        <f t="shared" si="29"/>
        <v>431</v>
      </c>
      <c r="G162" s="53">
        <f t="shared" si="30"/>
        <v>432</v>
      </c>
      <c r="H162" s="14" t="s">
        <v>2348</v>
      </c>
      <c r="I162" s="53" t="str">
        <f t="shared" si="28"/>
        <v>G2P2_5</v>
      </c>
    </row>
    <row r="163" spans="1:9" s="90" customFormat="1" ht="15" x14ac:dyDescent="0.25">
      <c r="A163" s="53" t="s">
        <v>2332</v>
      </c>
      <c r="B163" s="57" t="str">
        <f>A163&amp;". How was the payment delivered?"&amp;Other!AO7</f>
        <v>G2P2.6. How was the payment delivered?BLT</v>
      </c>
      <c r="C163" s="118" t="s">
        <v>2342</v>
      </c>
      <c r="D163" s="53" t="s">
        <v>38</v>
      </c>
      <c r="E163" s="53">
        <v>2</v>
      </c>
      <c r="F163" s="53">
        <f t="shared" si="29"/>
        <v>433</v>
      </c>
      <c r="G163" s="53">
        <f t="shared" si="30"/>
        <v>434</v>
      </c>
      <c r="H163" s="14" t="s">
        <v>2349</v>
      </c>
      <c r="I163" s="53" t="str">
        <f t="shared" si="28"/>
        <v>G2P2_6</v>
      </c>
    </row>
    <row r="164" spans="1:9" s="90" customFormat="1" ht="15" x14ac:dyDescent="0.25">
      <c r="A164" s="53" t="s">
        <v>2333</v>
      </c>
      <c r="B164" s="57" t="str">
        <f>A164&amp;". How was the payment delivered?"&amp;Other!AO8</f>
        <v>G2P2.96. How was the payment delivered?Other(Specify)</v>
      </c>
      <c r="C164" s="118" t="s">
        <v>2342</v>
      </c>
      <c r="D164" s="53" t="s">
        <v>38</v>
      </c>
      <c r="E164" s="53">
        <v>2</v>
      </c>
      <c r="F164" s="53">
        <f t="shared" si="29"/>
        <v>435</v>
      </c>
      <c r="G164" s="53">
        <f t="shared" si="30"/>
        <v>436</v>
      </c>
      <c r="H164" s="14" t="s">
        <v>2350</v>
      </c>
      <c r="I164" s="53" t="str">
        <f t="shared" si="28"/>
        <v>G2P2_96</v>
      </c>
    </row>
    <row r="165" spans="1:9" s="117" customFormat="1" ht="24.75" customHeight="1" x14ac:dyDescent="0.25">
      <c r="A165" s="53" t="s">
        <v>2351</v>
      </c>
      <c r="B165" s="57" t="str">
        <f>A165&amp;". Was the payment received in full, i.e., the full amount minus any applicable transaction fees?"&amp;Other!AO2</f>
        <v>G2P3.1. Was the payment received in full, i.e., the full amount minus any applicable transaction fees?PKH</v>
      </c>
      <c r="C165" s="57" t="s">
        <v>92</v>
      </c>
      <c r="D165" s="53" t="s">
        <v>38</v>
      </c>
      <c r="E165" s="53">
        <v>1</v>
      </c>
      <c r="F165" s="53">
        <f t="shared" ref="F165:F170" si="33">G164+1</f>
        <v>437</v>
      </c>
      <c r="G165" s="53">
        <f t="shared" ref="G165:G170" si="34">G164+E165</f>
        <v>437</v>
      </c>
      <c r="H165" s="14" t="s">
        <v>2344</v>
      </c>
      <c r="I165" s="53" t="str">
        <f t="shared" si="28"/>
        <v>G2P3_1</v>
      </c>
    </row>
    <row r="166" spans="1:9" s="117" customFormat="1" ht="25.5" x14ac:dyDescent="0.25">
      <c r="A166" s="53" t="s">
        <v>2352</v>
      </c>
      <c r="B166" s="57" t="str">
        <f>A166&amp;". Was the payment received in full, i.e., the full amount minus any applicable transaction fees?"&amp;Other!AO3</f>
        <v>G2P3.2. Was the payment received in full, i.e., the full amount minus any applicable transaction fees?Fertilizer Subsidies </v>
      </c>
      <c r="C166" s="57" t="s">
        <v>92</v>
      </c>
      <c r="D166" s="53" t="s">
        <v>38</v>
      </c>
      <c r="E166" s="53">
        <v>1</v>
      </c>
      <c r="F166" s="53">
        <f t="shared" si="33"/>
        <v>438</v>
      </c>
      <c r="G166" s="53">
        <f t="shared" si="34"/>
        <v>438</v>
      </c>
      <c r="H166" s="14" t="s">
        <v>2345</v>
      </c>
      <c r="I166" s="53" t="str">
        <f t="shared" si="28"/>
        <v>G2P3_2</v>
      </c>
    </row>
    <row r="167" spans="1:9" s="117" customFormat="1" ht="25.5" x14ac:dyDescent="0.25">
      <c r="A167" s="53" t="s">
        <v>2353</v>
      </c>
      <c r="B167" s="57" t="str">
        <f>A167&amp;". Was the payment received in full, i.e., the full amount minus any applicable transaction fees?"&amp;Other!AO4</f>
        <v>G2P3.3. Was the payment received in full, i.e., the full amount minus any applicable transaction fees?BSM</v>
      </c>
      <c r="C167" s="57" t="s">
        <v>92</v>
      </c>
      <c r="D167" s="53" t="s">
        <v>38</v>
      </c>
      <c r="E167" s="53">
        <v>1</v>
      </c>
      <c r="F167" s="53">
        <f t="shared" si="33"/>
        <v>439</v>
      </c>
      <c r="G167" s="53">
        <f t="shared" si="34"/>
        <v>439</v>
      </c>
      <c r="H167" s="14" t="s">
        <v>2346</v>
      </c>
      <c r="I167" s="53" t="str">
        <f t="shared" si="28"/>
        <v>G2P3_3</v>
      </c>
    </row>
    <row r="168" spans="1:9" s="90" customFormat="1" ht="25.5" x14ac:dyDescent="0.25">
      <c r="A168" s="53" t="s">
        <v>2354</v>
      </c>
      <c r="B168" s="57" t="str">
        <f>A168&amp;". Was the payment received in full, i.e., the full amount minus any applicable transaction fees?"&amp;Other!AO5</f>
        <v>G2P3.4. Was the payment received in full, i.e., the full amount minus any applicable transaction fees?PNPM</v>
      </c>
      <c r="C168" s="57" t="s">
        <v>92</v>
      </c>
      <c r="D168" s="53" t="s">
        <v>38</v>
      </c>
      <c r="E168" s="53">
        <v>1</v>
      </c>
      <c r="F168" s="53">
        <f t="shared" si="33"/>
        <v>440</v>
      </c>
      <c r="G168" s="53">
        <f t="shared" si="34"/>
        <v>440</v>
      </c>
      <c r="H168" s="14" t="s">
        <v>2347</v>
      </c>
      <c r="I168" s="53" t="str">
        <f t="shared" si="28"/>
        <v>G2P3_4</v>
      </c>
    </row>
    <row r="169" spans="1:9" s="90" customFormat="1" ht="25.5" x14ac:dyDescent="0.25">
      <c r="A169" s="53" t="s">
        <v>2355</v>
      </c>
      <c r="B169" s="57" t="str">
        <f>A169&amp;". Was the payment received in full, i.e., the full amount minus any applicable transaction fees?"&amp;Other!AO6</f>
        <v>G2P3.5. Was the payment received in full, i.e., the full amount minus any applicable transaction fees?BPJS</v>
      </c>
      <c r="C169" s="57" t="s">
        <v>92</v>
      </c>
      <c r="D169" s="53" t="s">
        <v>38</v>
      </c>
      <c r="E169" s="53">
        <v>1</v>
      </c>
      <c r="F169" s="53">
        <f t="shared" si="33"/>
        <v>441</v>
      </c>
      <c r="G169" s="53">
        <f t="shared" si="34"/>
        <v>441</v>
      </c>
      <c r="H169" s="14" t="s">
        <v>2348</v>
      </c>
      <c r="I169" s="53" t="str">
        <f t="shared" si="28"/>
        <v>G2P3_5</v>
      </c>
    </row>
    <row r="170" spans="1:9" s="90" customFormat="1" ht="25.5" x14ac:dyDescent="0.25">
      <c r="A170" s="53" t="s">
        <v>2356</v>
      </c>
      <c r="B170" s="57" t="str">
        <f>A170&amp;". Was the payment received in full, i.e., the full amount minus any applicable transaction fees?"&amp;Other!AO7</f>
        <v>G2P3.6. Was the payment received in full, i.e., the full amount minus any applicable transaction fees?BLT</v>
      </c>
      <c r="C170" s="57" t="s">
        <v>92</v>
      </c>
      <c r="D170" s="53" t="s">
        <v>38</v>
      </c>
      <c r="E170" s="53">
        <v>1</v>
      </c>
      <c r="F170" s="53">
        <f t="shared" si="33"/>
        <v>442</v>
      </c>
      <c r="G170" s="53">
        <f t="shared" si="34"/>
        <v>442</v>
      </c>
      <c r="H170" s="14" t="s">
        <v>2349</v>
      </c>
      <c r="I170" s="53" t="str">
        <f t="shared" si="28"/>
        <v>G2P3_6</v>
      </c>
    </row>
    <row r="171" spans="1:9" s="90" customFormat="1" ht="25.5" x14ac:dyDescent="0.25">
      <c r="A171" s="53" t="s">
        <v>2357</v>
      </c>
      <c r="B171" s="57" t="str">
        <f>A171&amp;". Was the payment received in full, i.e., the full amount minus any applicable transaction fees?"&amp;Other!AO8</f>
        <v>G2P3.96. Was the payment received in full, i.e., the full amount minus any applicable transaction fees?Other(Specify)</v>
      </c>
      <c r="C171" s="57" t="s">
        <v>92</v>
      </c>
      <c r="D171" s="53" t="s">
        <v>38</v>
      </c>
      <c r="E171" s="53">
        <v>1</v>
      </c>
      <c r="F171" s="53">
        <f t="shared" ref="F171" si="35">G170+1</f>
        <v>443</v>
      </c>
      <c r="G171" s="53">
        <f t="shared" ref="G171" si="36">G170+E171</f>
        <v>443</v>
      </c>
      <c r="H171" s="14" t="s">
        <v>2350</v>
      </c>
      <c r="I171" s="53" t="str">
        <f t="shared" si="28"/>
        <v>G2P3_96</v>
      </c>
    </row>
    <row r="172" spans="1:9" x14ac:dyDescent="0.25">
      <c r="A172" s="121" t="s">
        <v>271</v>
      </c>
      <c r="B172" s="122" t="s">
        <v>272</v>
      </c>
      <c r="C172" s="122" t="s">
        <v>272</v>
      </c>
      <c r="D172" s="122" t="s">
        <v>272</v>
      </c>
      <c r="E172" s="122" t="s">
        <v>272</v>
      </c>
      <c r="F172" s="122" t="s">
        <v>272</v>
      </c>
      <c r="G172" s="122" t="s">
        <v>272</v>
      </c>
      <c r="H172" s="122" t="s">
        <v>272</v>
      </c>
      <c r="I172" s="123" t="s">
        <v>272</v>
      </c>
    </row>
    <row r="173" spans="1:9" x14ac:dyDescent="0.25">
      <c r="A173" s="124" t="s">
        <v>273</v>
      </c>
      <c r="B173" s="124"/>
      <c r="C173" s="124"/>
      <c r="D173" s="124"/>
      <c r="E173" s="124"/>
      <c r="F173" s="124"/>
      <c r="G173" s="124"/>
      <c r="H173" s="124"/>
      <c r="I173" s="124"/>
    </row>
    <row r="174" spans="1:9" x14ac:dyDescent="0.25">
      <c r="A174" s="51" t="s">
        <v>4</v>
      </c>
      <c r="B174" s="52" t="s">
        <v>5</v>
      </c>
      <c r="C174" s="52" t="s">
        <v>6</v>
      </c>
      <c r="D174" s="51" t="s">
        <v>7</v>
      </c>
      <c r="E174" s="51" t="s">
        <v>8</v>
      </c>
      <c r="F174" s="51" t="s">
        <v>9</v>
      </c>
      <c r="G174" s="51" t="s">
        <v>10</v>
      </c>
      <c r="H174" s="51" t="s">
        <v>11</v>
      </c>
      <c r="I174" s="51" t="s">
        <v>12</v>
      </c>
    </row>
    <row r="175" spans="1:9" ht="25.5" x14ac:dyDescent="0.25">
      <c r="A175" s="65" t="s">
        <v>274</v>
      </c>
      <c r="B175" s="66" t="s">
        <v>275</v>
      </c>
      <c r="C175" s="66" t="s">
        <v>83</v>
      </c>
      <c r="D175" s="54" t="s">
        <v>16</v>
      </c>
      <c r="E175" s="53">
        <v>2</v>
      </c>
      <c r="F175" s="53">
        <f>G171+1</f>
        <v>444</v>
      </c>
      <c r="G175" s="53">
        <f>G171+E175</f>
        <v>445</v>
      </c>
      <c r="H175" s="55" t="s">
        <v>17</v>
      </c>
      <c r="I175" s="54" t="s">
        <v>274</v>
      </c>
    </row>
    <row r="176" spans="1:9" ht="89.25" x14ac:dyDescent="0.25">
      <c r="A176" s="67" t="s">
        <v>276</v>
      </c>
      <c r="B176" s="68" t="s">
        <v>277</v>
      </c>
      <c r="C176" s="68" t="s">
        <v>2386</v>
      </c>
      <c r="D176" s="69" t="s">
        <v>38</v>
      </c>
      <c r="E176" s="53">
        <v>2</v>
      </c>
      <c r="F176" s="53">
        <f>G175+1</f>
        <v>446</v>
      </c>
      <c r="G176" s="53">
        <f>G175+E176</f>
        <v>447</v>
      </c>
      <c r="H176" s="55" t="s">
        <v>17</v>
      </c>
      <c r="I176" s="54" t="s">
        <v>276</v>
      </c>
    </row>
    <row r="177" spans="1:9" ht="25.5" x14ac:dyDescent="0.25">
      <c r="A177" s="67" t="s">
        <v>278</v>
      </c>
      <c r="B177" s="68" t="s">
        <v>279</v>
      </c>
      <c r="C177" s="68" t="s">
        <v>142</v>
      </c>
      <c r="D177" s="70" t="s">
        <v>38</v>
      </c>
      <c r="E177" s="53">
        <v>1</v>
      </c>
      <c r="F177" s="53">
        <f t="shared" ref="F177:F195" si="37">G176+1</f>
        <v>448</v>
      </c>
      <c r="G177" s="53">
        <f t="shared" ref="G177:G183" si="38">G176+E177</f>
        <v>448</v>
      </c>
      <c r="H177" s="55" t="s">
        <v>17</v>
      </c>
      <c r="I177" s="54" t="s">
        <v>278</v>
      </c>
    </row>
    <row r="178" spans="1:9" ht="25.5" x14ac:dyDescent="0.2">
      <c r="A178" s="67" t="s">
        <v>280</v>
      </c>
      <c r="B178" s="68" t="s">
        <v>281</v>
      </c>
      <c r="C178" s="71" t="s">
        <v>15</v>
      </c>
      <c r="D178" s="70" t="s">
        <v>16</v>
      </c>
      <c r="E178" s="53">
        <v>2</v>
      </c>
      <c r="F178" s="53">
        <f t="shared" si="37"/>
        <v>449</v>
      </c>
      <c r="G178" s="53">
        <f t="shared" si="38"/>
        <v>450</v>
      </c>
      <c r="H178" s="55" t="s">
        <v>282</v>
      </c>
      <c r="I178" s="53" t="str">
        <f t="shared" ref="I178:I186" si="39">SUBSTITUTE(A178,".","_")</f>
        <v>MT3_1</v>
      </c>
    </row>
    <row r="179" spans="1:9" ht="25.5" x14ac:dyDescent="0.25">
      <c r="A179" s="67" t="s">
        <v>283</v>
      </c>
      <c r="B179" s="68" t="s">
        <v>284</v>
      </c>
      <c r="C179" s="72" t="s">
        <v>15</v>
      </c>
      <c r="D179" s="70" t="s">
        <v>16</v>
      </c>
      <c r="E179" s="53">
        <v>2</v>
      </c>
      <c r="F179" s="53">
        <f t="shared" si="37"/>
        <v>451</v>
      </c>
      <c r="G179" s="53">
        <f t="shared" si="38"/>
        <v>452</v>
      </c>
      <c r="H179" s="55" t="s">
        <v>282</v>
      </c>
      <c r="I179" s="53" t="str">
        <f t="shared" si="39"/>
        <v>MT3_2</v>
      </c>
    </row>
    <row r="180" spans="1:9" ht="25.5" x14ac:dyDescent="0.25">
      <c r="A180" s="67" t="s">
        <v>285</v>
      </c>
      <c r="B180" s="68" t="s">
        <v>286</v>
      </c>
      <c r="C180" s="72" t="s">
        <v>15</v>
      </c>
      <c r="D180" s="70" t="s">
        <v>16</v>
      </c>
      <c r="E180" s="53">
        <v>2</v>
      </c>
      <c r="F180" s="53">
        <f t="shared" si="37"/>
        <v>453</v>
      </c>
      <c r="G180" s="53">
        <f t="shared" si="38"/>
        <v>454</v>
      </c>
      <c r="H180" s="55" t="s">
        <v>282</v>
      </c>
      <c r="I180" s="53" t="str">
        <f t="shared" si="39"/>
        <v>MT3_3</v>
      </c>
    </row>
    <row r="181" spans="1:9" ht="25.5" x14ac:dyDescent="0.25">
      <c r="A181" s="67" t="s">
        <v>287</v>
      </c>
      <c r="B181" s="68" t="str">
        <f>A181&amp;" . Which of the following statement apply to the mobile phone you have? "&amp;Other!E2</f>
        <v>MT4.1 . Which of the following statement apply to the mobile phone you have? My phone has multiple SIM slots</v>
      </c>
      <c r="C181" s="68" t="s">
        <v>142</v>
      </c>
      <c r="D181" s="70" t="s">
        <v>38</v>
      </c>
      <c r="E181" s="53">
        <v>1</v>
      </c>
      <c r="F181" s="53">
        <f t="shared" si="37"/>
        <v>455</v>
      </c>
      <c r="G181" s="53">
        <f t="shared" si="38"/>
        <v>455</v>
      </c>
      <c r="H181" s="55" t="s">
        <v>282</v>
      </c>
      <c r="I181" s="53" t="str">
        <f t="shared" si="39"/>
        <v>MT4_1</v>
      </c>
    </row>
    <row r="182" spans="1:9" ht="25.5" x14ac:dyDescent="0.25">
      <c r="A182" s="67" t="s">
        <v>288</v>
      </c>
      <c r="B182" s="68" t="str">
        <f>A182&amp;" . Which of the following statement apply to the mobile phone you have? "&amp;Other!E3</f>
        <v>MT4.2 . Which of the following statement apply to the mobile phone you have? My phone has a QWERTY keypad (letters of the keyboard do not share a key)</v>
      </c>
      <c r="C182" s="68" t="s">
        <v>142</v>
      </c>
      <c r="D182" s="70" t="s">
        <v>38</v>
      </c>
      <c r="E182" s="53">
        <v>1</v>
      </c>
      <c r="F182" s="53">
        <f t="shared" si="37"/>
        <v>456</v>
      </c>
      <c r="G182" s="53">
        <f t="shared" si="38"/>
        <v>456</v>
      </c>
      <c r="H182" s="55" t="s">
        <v>282</v>
      </c>
      <c r="I182" s="53" t="str">
        <f t="shared" si="39"/>
        <v>MT4_2</v>
      </c>
    </row>
    <row r="183" spans="1:9" ht="25.5" x14ac:dyDescent="0.25">
      <c r="A183" s="73" t="s">
        <v>289</v>
      </c>
      <c r="B183" s="74" t="str">
        <f>A183&amp;" . Which of the following statement apply to the mobile phone you have? "&amp;Other!E4</f>
        <v>MT4.3 . Which of the following statement apply to the mobile phone you have? I can access the internet on my phone</v>
      </c>
      <c r="C183" s="74" t="s">
        <v>142</v>
      </c>
      <c r="D183" s="53" t="s">
        <v>38</v>
      </c>
      <c r="E183" s="53">
        <v>1</v>
      </c>
      <c r="F183" s="53">
        <f t="shared" si="37"/>
        <v>457</v>
      </c>
      <c r="G183" s="53">
        <f t="shared" si="38"/>
        <v>457</v>
      </c>
      <c r="H183" s="55" t="s">
        <v>282</v>
      </c>
      <c r="I183" s="53" t="str">
        <f t="shared" si="39"/>
        <v>MT4_3</v>
      </c>
    </row>
    <row r="184" spans="1:9" ht="25.5" x14ac:dyDescent="0.25">
      <c r="A184" s="54" t="s">
        <v>290</v>
      </c>
      <c r="B184" s="9" t="str">
        <f>A184&amp;" . Which of the following statement apply to the mobile phone you have? "&amp;Other!E5</f>
        <v>MT4.4 . Which of the following statement apply to the mobile phone you have? I can send and receive email on my phone</v>
      </c>
      <c r="C184" s="9" t="s">
        <v>142</v>
      </c>
      <c r="D184" s="53" t="s">
        <v>38</v>
      </c>
      <c r="E184" s="53">
        <v>1</v>
      </c>
      <c r="F184" s="53">
        <f>G183+1</f>
        <v>458</v>
      </c>
      <c r="G184" s="53">
        <f t="shared" ref="G184:G195" si="40">G183+E184</f>
        <v>458</v>
      </c>
      <c r="H184" s="55" t="s">
        <v>282</v>
      </c>
      <c r="I184" s="53" t="str">
        <f t="shared" si="39"/>
        <v>MT4_4</v>
      </c>
    </row>
    <row r="185" spans="1:9" ht="25.5" x14ac:dyDescent="0.25">
      <c r="A185" s="54" t="s">
        <v>291</v>
      </c>
      <c r="B185" s="9" t="str">
        <f>A185&amp;" . Which of the following statement apply to the mobile phone you have? "&amp;Other!E6</f>
        <v>MT4.5 . Which of the following statement apply to the mobile phone you have? My phone has a touch screen</v>
      </c>
      <c r="C185" s="9" t="s">
        <v>142</v>
      </c>
      <c r="D185" s="53" t="s">
        <v>38</v>
      </c>
      <c r="E185" s="53">
        <v>1</v>
      </c>
      <c r="F185" s="53">
        <f t="shared" si="37"/>
        <v>459</v>
      </c>
      <c r="G185" s="53">
        <f t="shared" si="40"/>
        <v>459</v>
      </c>
      <c r="H185" s="55" t="s">
        <v>282</v>
      </c>
      <c r="I185" s="53" t="str">
        <f t="shared" si="39"/>
        <v>MT4_5</v>
      </c>
    </row>
    <row r="186" spans="1:9" ht="25.5" x14ac:dyDescent="0.25">
      <c r="A186" s="54" t="s">
        <v>292</v>
      </c>
      <c r="B186" s="9" t="str">
        <f>A186&amp;" . Which of the following statement apply to the mobile phone you have? "&amp;Other!E7</f>
        <v>MT4.6 . Which of the following statement apply to the mobile phone you have? I can download and install applications on my phone</v>
      </c>
      <c r="C186" s="9" t="s">
        <v>142</v>
      </c>
      <c r="D186" s="53" t="s">
        <v>38</v>
      </c>
      <c r="E186" s="53">
        <v>1</v>
      </c>
      <c r="F186" s="53">
        <f t="shared" si="37"/>
        <v>460</v>
      </c>
      <c r="G186" s="53">
        <f t="shared" si="40"/>
        <v>460</v>
      </c>
      <c r="H186" s="55" t="s">
        <v>282</v>
      </c>
      <c r="I186" s="53" t="str">
        <f t="shared" si="39"/>
        <v>MT4_6</v>
      </c>
    </row>
    <row r="187" spans="1:9" ht="114.75" x14ac:dyDescent="0.25">
      <c r="A187" s="54" t="s">
        <v>293</v>
      </c>
      <c r="B187" s="9" t="s">
        <v>294</v>
      </c>
      <c r="C187" s="66" t="s">
        <v>295</v>
      </c>
      <c r="D187" s="53" t="s">
        <v>38</v>
      </c>
      <c r="E187" s="53">
        <v>2</v>
      </c>
      <c r="F187" s="53">
        <f t="shared" si="37"/>
        <v>461</v>
      </c>
      <c r="G187" s="53">
        <f t="shared" si="40"/>
        <v>462</v>
      </c>
      <c r="H187" s="55" t="s">
        <v>282</v>
      </c>
      <c r="I187" s="54" t="s">
        <v>293</v>
      </c>
    </row>
    <row r="188" spans="1:9" ht="165.75" x14ac:dyDescent="0.25">
      <c r="A188" s="54" t="s">
        <v>296</v>
      </c>
      <c r="B188" s="75" t="s">
        <v>297</v>
      </c>
      <c r="C188" s="72" t="s">
        <v>298</v>
      </c>
      <c r="D188" s="69" t="s">
        <v>38</v>
      </c>
      <c r="E188" s="53">
        <v>2</v>
      </c>
      <c r="F188" s="53">
        <f>G187+1</f>
        <v>463</v>
      </c>
      <c r="G188" s="53">
        <f t="shared" si="40"/>
        <v>464</v>
      </c>
      <c r="H188" s="55" t="s">
        <v>282</v>
      </c>
      <c r="I188" s="54" t="str">
        <f>LEFT(A188,3)</f>
        <v>MT6</v>
      </c>
    </row>
    <row r="189" spans="1:9" ht="76.5" x14ac:dyDescent="0.25">
      <c r="A189" s="54" t="s">
        <v>299</v>
      </c>
      <c r="B189" s="75" t="s">
        <v>300</v>
      </c>
      <c r="C189" s="72" t="s">
        <v>301</v>
      </c>
      <c r="D189" s="69" t="s">
        <v>38</v>
      </c>
      <c r="E189" s="53">
        <v>2</v>
      </c>
      <c r="F189" s="53">
        <f t="shared" si="37"/>
        <v>465</v>
      </c>
      <c r="G189" s="53">
        <f t="shared" si="40"/>
        <v>466</v>
      </c>
      <c r="H189" s="14" t="s">
        <v>282</v>
      </c>
      <c r="I189" s="54" t="s">
        <v>299</v>
      </c>
    </row>
    <row r="190" spans="1:9" s="3" customFormat="1" ht="89.25" x14ac:dyDescent="0.25">
      <c r="A190" s="53" t="s">
        <v>302</v>
      </c>
      <c r="B190" s="75" t="s">
        <v>303</v>
      </c>
      <c r="C190" s="72" t="s">
        <v>304</v>
      </c>
      <c r="D190" s="69" t="s">
        <v>38</v>
      </c>
      <c r="E190" s="53">
        <v>2</v>
      </c>
      <c r="F190" s="53">
        <f t="shared" si="37"/>
        <v>467</v>
      </c>
      <c r="G190" s="53">
        <f t="shared" si="40"/>
        <v>468</v>
      </c>
      <c r="H190" s="14" t="s">
        <v>282</v>
      </c>
      <c r="I190" s="54" t="s">
        <v>302</v>
      </c>
    </row>
    <row r="191" spans="1:9" s="3" customFormat="1" ht="25.5" x14ac:dyDescent="0.25">
      <c r="A191" s="53" t="s">
        <v>305</v>
      </c>
      <c r="B191" s="57" t="s">
        <v>306</v>
      </c>
      <c r="C191" s="74" t="s">
        <v>83</v>
      </c>
      <c r="D191" s="54" t="s">
        <v>16</v>
      </c>
      <c r="E191" s="53">
        <v>6</v>
      </c>
      <c r="F191" s="53">
        <f>G190+1</f>
        <v>469</v>
      </c>
      <c r="G191" s="53">
        <f t="shared" si="40"/>
        <v>474</v>
      </c>
      <c r="H191" s="14" t="s">
        <v>282</v>
      </c>
      <c r="I191" s="54" t="s">
        <v>305</v>
      </c>
    </row>
    <row r="192" spans="1:9" ht="25.5" x14ac:dyDescent="0.25">
      <c r="A192" s="53" t="s">
        <v>307</v>
      </c>
      <c r="B192" s="57" t="str">
        <f>A192&amp;".You said you don’t have a personal mobile phone. Do you use a mobile phone that belongs to someone else either by borrowing or paying for its use?"</f>
        <v>MT7.You said you don’t have a personal mobile phone. Do you use a mobile phone that belongs to someone else either by borrowing or paying for its use?</v>
      </c>
      <c r="C192" s="57" t="s">
        <v>142</v>
      </c>
      <c r="D192" s="53" t="s">
        <v>38</v>
      </c>
      <c r="E192" s="53">
        <v>1</v>
      </c>
      <c r="F192" s="53">
        <f t="shared" si="37"/>
        <v>475</v>
      </c>
      <c r="G192" s="53">
        <f t="shared" si="40"/>
        <v>475</v>
      </c>
      <c r="H192" s="55" t="s">
        <v>308</v>
      </c>
      <c r="I192" s="54" t="str">
        <f>LEFT(A192,3)</f>
        <v>MT7</v>
      </c>
    </row>
    <row r="193" spans="1:9" ht="102" x14ac:dyDescent="0.25">
      <c r="A193" s="53" t="s">
        <v>309</v>
      </c>
      <c r="B193" s="57" t="s">
        <v>310</v>
      </c>
      <c r="C193" s="57" t="s">
        <v>311</v>
      </c>
      <c r="D193" s="53" t="s">
        <v>38</v>
      </c>
      <c r="E193" s="53">
        <v>2</v>
      </c>
      <c r="F193" s="53">
        <f t="shared" si="37"/>
        <v>476</v>
      </c>
      <c r="G193" s="53">
        <f t="shared" si="40"/>
        <v>477</v>
      </c>
      <c r="H193" s="55" t="s">
        <v>312</v>
      </c>
      <c r="I193" s="53" t="s">
        <v>309</v>
      </c>
    </row>
    <row r="194" spans="1:9" ht="25.5" x14ac:dyDescent="0.25">
      <c r="A194" s="54" t="s">
        <v>313</v>
      </c>
      <c r="B194" s="9" t="str">
        <f>A194&amp;".Do you pay to use someone else’s phone or do you borrow at no cost?"</f>
        <v>MT8.Do you pay to use someone else’s phone or do you borrow at no cost?</v>
      </c>
      <c r="C194" s="57" t="s">
        <v>314</v>
      </c>
      <c r="D194" s="54" t="s">
        <v>38</v>
      </c>
      <c r="E194" s="53">
        <v>1</v>
      </c>
      <c r="F194" s="53">
        <f t="shared" si="37"/>
        <v>478</v>
      </c>
      <c r="G194" s="53">
        <f t="shared" si="40"/>
        <v>478</v>
      </c>
      <c r="H194" s="55" t="s">
        <v>312</v>
      </c>
      <c r="I194" s="54" t="str">
        <f>LEFT(A194,3)</f>
        <v>MT8</v>
      </c>
    </row>
    <row r="195" spans="1:9" s="77" customFormat="1" ht="25.5" x14ac:dyDescent="0.2">
      <c r="A195" s="54" t="s">
        <v>315</v>
      </c>
      <c r="B195" s="9" t="str">
        <f>A195&amp;".What is the main reason you do not have a mobile phone and do not use somebody else’s mobile phone?"</f>
        <v>MT9.What is the main reason you do not have a mobile phone and do not use somebody else’s mobile phone?</v>
      </c>
      <c r="C195" s="59" t="s">
        <v>316</v>
      </c>
      <c r="D195" s="54" t="s">
        <v>38</v>
      </c>
      <c r="E195" s="53">
        <v>2</v>
      </c>
      <c r="F195" s="53">
        <f t="shared" si="37"/>
        <v>479</v>
      </c>
      <c r="G195" s="53">
        <f t="shared" si="40"/>
        <v>480</v>
      </c>
      <c r="H195" s="55" t="s">
        <v>317</v>
      </c>
      <c r="I195" s="54" t="str">
        <f>LEFT(A195,3)</f>
        <v>MT9</v>
      </c>
    </row>
    <row r="196" spans="1:9" x14ac:dyDescent="0.25">
      <c r="A196" s="121" t="s">
        <v>318</v>
      </c>
      <c r="B196" s="122"/>
      <c r="C196" s="122"/>
      <c r="D196" s="122"/>
      <c r="E196" s="122"/>
      <c r="F196" s="122"/>
      <c r="G196" s="122"/>
      <c r="H196" s="122"/>
      <c r="I196" s="123"/>
    </row>
    <row r="197" spans="1:9" x14ac:dyDescent="0.25">
      <c r="A197" s="51" t="s">
        <v>4</v>
      </c>
      <c r="B197" s="52" t="s">
        <v>5</v>
      </c>
      <c r="C197" s="76" t="s">
        <v>6</v>
      </c>
      <c r="D197" s="51" t="s">
        <v>7</v>
      </c>
      <c r="E197" s="51" t="s">
        <v>8</v>
      </c>
      <c r="F197" s="51" t="s">
        <v>9</v>
      </c>
      <c r="G197" s="51" t="s">
        <v>10</v>
      </c>
      <c r="H197" s="52" t="s">
        <v>11</v>
      </c>
      <c r="I197" s="51" t="s">
        <v>12</v>
      </c>
    </row>
    <row r="198" spans="1:9" ht="25.5" x14ac:dyDescent="0.25">
      <c r="A198" s="53" t="s">
        <v>319</v>
      </c>
      <c r="B198" s="75" t="str">
        <f>A198&amp;".Do you personally have an active/working SIM card?"</f>
        <v>MT10.Do you personally have an active/working SIM card?</v>
      </c>
      <c r="C198" s="68" t="s">
        <v>320</v>
      </c>
      <c r="D198" s="69" t="s">
        <v>38</v>
      </c>
      <c r="E198" s="53">
        <v>1</v>
      </c>
      <c r="F198" s="53">
        <f>G195+1</f>
        <v>481</v>
      </c>
      <c r="G198" s="53">
        <f>G195+E198</f>
        <v>481</v>
      </c>
      <c r="H198" s="55" t="s">
        <v>17</v>
      </c>
      <c r="I198" s="54" t="str">
        <f>LEFT(A198,4)</f>
        <v>MT10</v>
      </c>
    </row>
    <row r="199" spans="1:9" ht="25.5" x14ac:dyDescent="0.25">
      <c r="A199" s="53" t="s">
        <v>321</v>
      </c>
      <c r="B199" s="75" t="str">
        <f>A199&amp;".How many months ago was the last time you bought a SIM card? It could be an additional or replacement SIM card."</f>
        <v>MT11.How many months ago was the last time you bought a SIM card? It could be an additional or replacement SIM card.</v>
      </c>
      <c r="C199" s="72" t="s">
        <v>83</v>
      </c>
      <c r="D199" s="69" t="s">
        <v>16</v>
      </c>
      <c r="E199" s="53">
        <v>2</v>
      </c>
      <c r="F199" s="53">
        <f>G198+1</f>
        <v>482</v>
      </c>
      <c r="G199" s="53">
        <f>G198+E199</f>
        <v>483</v>
      </c>
      <c r="H199" s="55" t="s">
        <v>322</v>
      </c>
      <c r="I199" s="54" t="str">
        <f>LEFT(A199,4)</f>
        <v>MT11</v>
      </c>
    </row>
    <row r="200" spans="1:9" ht="25.5" x14ac:dyDescent="0.25">
      <c r="A200" s="53" t="s">
        <v>323</v>
      </c>
      <c r="B200" s="75" t="str">
        <f>A200&amp;".How many SIM cards do you have with the following providers? "&amp;'brand name'!A2</f>
        <v>MT12.1.How many SIM cards do you have with the following providers? Telkomsel (Simpati, Halo, Kartu As)</v>
      </c>
      <c r="C200" s="68" t="s">
        <v>15</v>
      </c>
      <c r="D200" s="69" t="s">
        <v>16</v>
      </c>
      <c r="E200" s="53">
        <v>2</v>
      </c>
      <c r="F200" s="53">
        <f t="shared" ref="F200:F220" si="41">G199+1</f>
        <v>484</v>
      </c>
      <c r="G200" s="53">
        <f t="shared" ref="G200:G204" si="42">G199+E200</f>
        <v>485</v>
      </c>
      <c r="H200" s="55" t="s">
        <v>322</v>
      </c>
      <c r="I200" s="53" t="str">
        <f t="shared" ref="I200:I244" si="43">SUBSTITUTE(A200,".","_")</f>
        <v>MT12_1</v>
      </c>
    </row>
    <row r="201" spans="1:9" ht="25.5" x14ac:dyDescent="0.25">
      <c r="A201" s="53" t="s">
        <v>324</v>
      </c>
      <c r="B201" s="75" t="str">
        <f>A201&amp;".How many SIM cards do you have with the following providers? "&amp;'brand name'!A3</f>
        <v>MT12.2.How many SIM cards do you have with the following providers? Indosat (IM3, Mentari, Matrix)</v>
      </c>
      <c r="C201" s="68" t="s">
        <v>15</v>
      </c>
      <c r="D201" s="69" t="s">
        <v>16</v>
      </c>
      <c r="E201" s="53">
        <v>2</v>
      </c>
      <c r="F201" s="53">
        <f t="shared" si="41"/>
        <v>486</v>
      </c>
      <c r="G201" s="53">
        <f t="shared" si="42"/>
        <v>487</v>
      </c>
      <c r="H201" s="55" t="s">
        <v>322</v>
      </c>
      <c r="I201" s="53" t="str">
        <f t="shared" si="43"/>
        <v>MT12_2</v>
      </c>
    </row>
    <row r="202" spans="1:9" x14ac:dyDescent="0.25">
      <c r="A202" s="53" t="s">
        <v>325</v>
      </c>
      <c r="B202" s="9" t="str">
        <f>A202&amp;".How many SIM cards do you have with the following providers? "&amp;'brand name'!A4</f>
        <v>MT12.3.How many SIM cards do you have with the following providers? XL</v>
      </c>
      <c r="C202" s="78" t="s">
        <v>15</v>
      </c>
      <c r="D202" s="54" t="s">
        <v>16</v>
      </c>
      <c r="E202" s="53">
        <v>2</v>
      </c>
      <c r="F202" s="53">
        <f t="shared" si="41"/>
        <v>488</v>
      </c>
      <c r="G202" s="53">
        <f t="shared" si="42"/>
        <v>489</v>
      </c>
      <c r="H202" s="55" t="s">
        <v>322</v>
      </c>
      <c r="I202" s="53" t="str">
        <f t="shared" si="43"/>
        <v>MT12_3</v>
      </c>
    </row>
    <row r="203" spans="1:9" x14ac:dyDescent="0.25">
      <c r="A203" s="53" t="s">
        <v>326</v>
      </c>
      <c r="B203" s="9" t="str">
        <f>A203&amp;".How many SIM cards do you have with the following providers? "&amp;'brand name'!A5</f>
        <v>MT12.4.How many SIM cards do you have with the following providers? 3</v>
      </c>
      <c r="C203" s="57" t="s">
        <v>15</v>
      </c>
      <c r="D203" s="54" t="s">
        <v>16</v>
      </c>
      <c r="E203" s="53">
        <v>2</v>
      </c>
      <c r="F203" s="53">
        <f t="shared" si="41"/>
        <v>490</v>
      </c>
      <c r="G203" s="53">
        <f t="shared" si="42"/>
        <v>491</v>
      </c>
      <c r="H203" s="55" t="s">
        <v>322</v>
      </c>
      <c r="I203" s="53" t="str">
        <f t="shared" si="43"/>
        <v>MT12_4</v>
      </c>
    </row>
    <row r="204" spans="1:9" x14ac:dyDescent="0.25">
      <c r="A204" s="53" t="s">
        <v>327</v>
      </c>
      <c r="B204" s="9" t="str">
        <f>A204&amp;".How many SIM cards do you have with the following providers? "&amp;'brand name'!A6</f>
        <v>MT12.5.How many SIM cards do you have with the following providers? AXIS</v>
      </c>
      <c r="C204" s="57" t="s">
        <v>15</v>
      </c>
      <c r="D204" s="54" t="s">
        <v>16</v>
      </c>
      <c r="E204" s="53">
        <v>2</v>
      </c>
      <c r="F204" s="53">
        <f t="shared" si="41"/>
        <v>492</v>
      </c>
      <c r="G204" s="53">
        <f t="shared" si="42"/>
        <v>493</v>
      </c>
      <c r="H204" s="55" t="s">
        <v>322</v>
      </c>
      <c r="I204" s="53" t="str">
        <f t="shared" si="43"/>
        <v>MT12_5</v>
      </c>
    </row>
    <row r="205" spans="1:9" x14ac:dyDescent="0.25">
      <c r="A205" s="53" t="s">
        <v>328</v>
      </c>
      <c r="B205" s="9" t="str">
        <f>A205&amp;".How many SIM cards do you have with the following providers? "&amp;'brand name'!A7</f>
        <v>MT12.6.How many SIM cards do you have with the following providers? Esia</v>
      </c>
      <c r="C205" s="57" t="s">
        <v>15</v>
      </c>
      <c r="D205" s="54" t="s">
        <v>16</v>
      </c>
      <c r="E205" s="53">
        <v>2</v>
      </c>
      <c r="F205" s="53">
        <f t="shared" ref="F205:F214" si="44">G204+1</f>
        <v>494</v>
      </c>
      <c r="G205" s="53">
        <f t="shared" ref="G205:G214" si="45">G204+E205</f>
        <v>495</v>
      </c>
      <c r="H205" s="55" t="s">
        <v>322</v>
      </c>
      <c r="I205" s="53" t="str">
        <f t="shared" si="43"/>
        <v>MT12_6</v>
      </c>
    </row>
    <row r="206" spans="1:9" x14ac:dyDescent="0.25">
      <c r="A206" s="53" t="s">
        <v>329</v>
      </c>
      <c r="B206" s="9" t="str">
        <f>A206&amp;".How many SIM cards do you have with the following providers? "&amp;'brand name'!A8</f>
        <v>MT12.7.How many SIM cards do you have with the following providers? SmartFren</v>
      </c>
      <c r="C206" s="57" t="s">
        <v>15</v>
      </c>
      <c r="D206" s="54" t="s">
        <v>16</v>
      </c>
      <c r="E206" s="53">
        <v>2</v>
      </c>
      <c r="F206" s="53">
        <f t="shared" si="44"/>
        <v>496</v>
      </c>
      <c r="G206" s="53">
        <f t="shared" si="45"/>
        <v>497</v>
      </c>
      <c r="H206" s="55" t="s">
        <v>322</v>
      </c>
      <c r="I206" s="53" t="str">
        <f t="shared" si="43"/>
        <v>MT12_7</v>
      </c>
    </row>
    <row r="207" spans="1:9" ht="25.5" x14ac:dyDescent="0.25">
      <c r="A207" s="53" t="s">
        <v>330</v>
      </c>
      <c r="B207" s="9" t="str">
        <f>A207&amp;".How many SIM cards do you have with the following providers? "&amp;'brand name'!A9</f>
        <v>MT12.96.How many SIM cards do you have with the following providers? Other (specify)</v>
      </c>
      <c r="C207" s="57" t="s">
        <v>15</v>
      </c>
      <c r="D207" s="54" t="s">
        <v>16</v>
      </c>
      <c r="E207" s="53">
        <v>2</v>
      </c>
      <c r="F207" s="53">
        <f t="shared" si="44"/>
        <v>498</v>
      </c>
      <c r="G207" s="53">
        <f t="shared" si="45"/>
        <v>499</v>
      </c>
      <c r="H207" s="55" t="s">
        <v>322</v>
      </c>
      <c r="I207" s="53" t="str">
        <f t="shared" si="43"/>
        <v>MT12_96</v>
      </c>
    </row>
    <row r="208" spans="1:9" x14ac:dyDescent="0.25">
      <c r="A208" s="53" t="s">
        <v>331</v>
      </c>
      <c r="B208" s="9" t="str">
        <f>A208&amp;".How many SIM cards do you have with the following providers? "&amp;'brand name'!A10</f>
        <v>MT12.99.How many SIM cards do you have with the following providers? DK</v>
      </c>
      <c r="C208" s="57" t="s">
        <v>15</v>
      </c>
      <c r="D208" s="54" t="s">
        <v>16</v>
      </c>
      <c r="E208" s="53">
        <v>2</v>
      </c>
      <c r="F208" s="53">
        <f t="shared" si="44"/>
        <v>500</v>
      </c>
      <c r="G208" s="53">
        <f t="shared" si="45"/>
        <v>501</v>
      </c>
      <c r="H208" s="55" t="s">
        <v>322</v>
      </c>
      <c r="I208" s="53" t="str">
        <f t="shared" si="43"/>
        <v>MT12_99</v>
      </c>
    </row>
    <row r="209" spans="1:9" ht="25.5" x14ac:dyDescent="0.25">
      <c r="A209" s="53" t="s">
        <v>332</v>
      </c>
      <c r="B209" s="9" t="str">
        <f>A209&amp;".Why did you get a SIM card with this provider? "&amp; 'brand name'!A2</f>
        <v>MT13.1.Why did you get a SIM card with this provider? Telkomsel (Simpati, Halo, Kartu As)</v>
      </c>
      <c r="C209" s="59" t="s">
        <v>333</v>
      </c>
      <c r="D209" s="54" t="s">
        <v>38</v>
      </c>
      <c r="E209" s="53">
        <v>2</v>
      </c>
      <c r="F209" s="53">
        <f t="shared" si="44"/>
        <v>502</v>
      </c>
      <c r="G209" s="53">
        <f t="shared" si="45"/>
        <v>503</v>
      </c>
      <c r="H209" s="14" t="str">
        <f t="shared" ref="H209:H216" si="46">"IF "&amp; I200&amp;"&gt;0"</f>
        <v>IF MT12_1&gt;0</v>
      </c>
      <c r="I209" s="53" t="str">
        <f t="shared" si="43"/>
        <v>MT13_1</v>
      </c>
    </row>
    <row r="210" spans="1:9" ht="25.5" x14ac:dyDescent="0.25">
      <c r="A210" s="53" t="s">
        <v>334</v>
      </c>
      <c r="B210" s="9" t="str">
        <f>A210&amp;".Why did you get a SIM card with this provider? "&amp; 'brand name'!A3</f>
        <v>MT13.2.Why did you get a SIM card with this provider? Indosat (IM3, Mentari, Matrix)</v>
      </c>
      <c r="C210" s="59" t="s">
        <v>333</v>
      </c>
      <c r="D210" s="54" t="s">
        <v>38</v>
      </c>
      <c r="E210" s="53">
        <v>2</v>
      </c>
      <c r="F210" s="53">
        <f t="shared" si="44"/>
        <v>504</v>
      </c>
      <c r="G210" s="53">
        <f t="shared" si="45"/>
        <v>505</v>
      </c>
      <c r="H210" s="14" t="str">
        <f t="shared" si="46"/>
        <v>IF MT12_2&gt;0</v>
      </c>
      <c r="I210" s="53" t="str">
        <f t="shared" si="43"/>
        <v>MT13_2</v>
      </c>
    </row>
    <row r="211" spans="1:9" x14ac:dyDescent="0.25">
      <c r="A211" s="53" t="s">
        <v>335</v>
      </c>
      <c r="B211" s="9" t="str">
        <f>A211&amp;".Why did you get a SIM card with this provider? "&amp; 'brand name'!A4</f>
        <v>MT13.3.Why did you get a SIM card with this provider? XL</v>
      </c>
      <c r="C211" s="59" t="s">
        <v>333</v>
      </c>
      <c r="D211" s="54" t="s">
        <v>38</v>
      </c>
      <c r="E211" s="53">
        <v>2</v>
      </c>
      <c r="F211" s="53">
        <f t="shared" si="44"/>
        <v>506</v>
      </c>
      <c r="G211" s="53">
        <f t="shared" si="45"/>
        <v>507</v>
      </c>
      <c r="H211" s="14" t="str">
        <f t="shared" si="46"/>
        <v>IF MT12_3&gt;0</v>
      </c>
      <c r="I211" s="53" t="str">
        <f t="shared" si="43"/>
        <v>MT13_3</v>
      </c>
    </row>
    <row r="212" spans="1:9" x14ac:dyDescent="0.25">
      <c r="A212" s="53" t="s">
        <v>336</v>
      </c>
      <c r="B212" s="9" t="str">
        <f>A212&amp;".Why did you get a SIM card with this provider? "&amp; 'brand name'!A5</f>
        <v>MT13.4.Why did you get a SIM card with this provider? 3</v>
      </c>
      <c r="C212" s="59" t="s">
        <v>333</v>
      </c>
      <c r="D212" s="54" t="s">
        <v>38</v>
      </c>
      <c r="E212" s="53">
        <v>2</v>
      </c>
      <c r="F212" s="53">
        <f t="shared" si="44"/>
        <v>508</v>
      </c>
      <c r="G212" s="53">
        <f t="shared" si="45"/>
        <v>509</v>
      </c>
      <c r="H212" s="14" t="str">
        <f t="shared" si="46"/>
        <v>IF MT12_4&gt;0</v>
      </c>
      <c r="I212" s="53" t="str">
        <f t="shared" si="43"/>
        <v>MT13_4</v>
      </c>
    </row>
    <row r="213" spans="1:9" x14ac:dyDescent="0.25">
      <c r="A213" s="54" t="s">
        <v>337</v>
      </c>
      <c r="B213" s="9" t="str">
        <f>A213&amp;".Why did you get a SIM card with this provider? "&amp; 'brand name'!A6</f>
        <v>MT13.5.Why did you get a SIM card with this provider? AXIS</v>
      </c>
      <c r="C213" s="59" t="s">
        <v>333</v>
      </c>
      <c r="D213" s="53" t="s">
        <v>38</v>
      </c>
      <c r="E213" s="53">
        <v>2</v>
      </c>
      <c r="F213" s="53">
        <f t="shared" si="44"/>
        <v>510</v>
      </c>
      <c r="G213" s="53">
        <f t="shared" si="45"/>
        <v>511</v>
      </c>
      <c r="H213" s="14" t="str">
        <f t="shared" si="46"/>
        <v>IF MT12_5&gt;0</v>
      </c>
      <c r="I213" s="53" t="str">
        <f t="shared" si="43"/>
        <v>MT13_5</v>
      </c>
    </row>
    <row r="214" spans="1:9" x14ac:dyDescent="0.25">
      <c r="A214" s="54" t="s">
        <v>338</v>
      </c>
      <c r="B214" s="9" t="str">
        <f>A214&amp;".Why did you get a SIM card with this provider? "&amp; 'brand name'!A7</f>
        <v>MT13.6.Why did you get a SIM card with this provider? Esia</v>
      </c>
      <c r="C214" s="59" t="s">
        <v>333</v>
      </c>
      <c r="D214" s="54" t="s">
        <v>38</v>
      </c>
      <c r="E214" s="53">
        <v>2</v>
      </c>
      <c r="F214" s="53">
        <f t="shared" si="44"/>
        <v>512</v>
      </c>
      <c r="G214" s="53">
        <f t="shared" si="45"/>
        <v>513</v>
      </c>
      <c r="H214" s="14" t="str">
        <f t="shared" si="46"/>
        <v>IF MT12_6&gt;0</v>
      </c>
      <c r="I214" s="53" t="str">
        <f t="shared" si="43"/>
        <v>MT13_6</v>
      </c>
    </row>
    <row r="215" spans="1:9" x14ac:dyDescent="0.25">
      <c r="A215" s="54" t="s">
        <v>339</v>
      </c>
      <c r="B215" s="9" t="str">
        <f>A215&amp;".Why did you get a SIM card with this provider? "&amp; 'brand name'!A8</f>
        <v>MT13.7.Why did you get a SIM card with this provider? SmartFren</v>
      </c>
      <c r="C215" s="59" t="s">
        <v>333</v>
      </c>
      <c r="D215" s="54" t="s">
        <v>38</v>
      </c>
      <c r="E215" s="53">
        <v>2</v>
      </c>
      <c r="F215" s="53">
        <f t="shared" ref="F215:F216" si="47">G214+1</f>
        <v>514</v>
      </c>
      <c r="G215" s="53">
        <f t="shared" ref="G215:G216" si="48">G214+E215</f>
        <v>515</v>
      </c>
      <c r="H215" s="14" t="str">
        <f t="shared" si="46"/>
        <v>IF MT12_7&gt;0</v>
      </c>
      <c r="I215" s="53" t="str">
        <f t="shared" si="43"/>
        <v>MT13_7</v>
      </c>
    </row>
    <row r="216" spans="1:9" x14ac:dyDescent="0.25">
      <c r="A216" s="54" t="s">
        <v>340</v>
      </c>
      <c r="B216" s="9" t="str">
        <f>A216&amp;".Why did you get a SIM card with this provider? "&amp; 'brand name'!A9</f>
        <v>MT13.96.Why did you get a SIM card with this provider? Other (specify)</v>
      </c>
      <c r="C216" s="79" t="s">
        <v>333</v>
      </c>
      <c r="D216" s="54" t="s">
        <v>38</v>
      </c>
      <c r="E216" s="53">
        <v>2</v>
      </c>
      <c r="F216" s="53">
        <f t="shared" si="47"/>
        <v>516</v>
      </c>
      <c r="G216" s="53">
        <f t="shared" si="48"/>
        <v>517</v>
      </c>
      <c r="H216" s="14" t="str">
        <f t="shared" si="46"/>
        <v>IF MT12_96&gt;0</v>
      </c>
      <c r="I216" s="53" t="str">
        <f t="shared" si="43"/>
        <v>MT13_96</v>
      </c>
    </row>
    <row r="217" spans="1:9" ht="102" x14ac:dyDescent="0.25">
      <c r="A217" s="54" t="s">
        <v>341</v>
      </c>
      <c r="B217" s="75" t="str">
        <f>A217&amp;".For which activitiy do you use this provider the most?" &amp;'brand name'!A2</f>
        <v>MT14.1.For which activitiy do you use this provider the most?Telkomsel (Simpati, Halo, Kartu As)</v>
      </c>
      <c r="C217" s="72" t="s">
        <v>342</v>
      </c>
      <c r="D217" s="70" t="s">
        <v>38</v>
      </c>
      <c r="E217" s="53">
        <v>2</v>
      </c>
      <c r="F217" s="53">
        <f t="shared" ref="F217" si="49">G216+1</f>
        <v>518</v>
      </c>
      <c r="G217" s="53">
        <f t="shared" ref="G217" si="50">G216+E217</f>
        <v>519</v>
      </c>
      <c r="H217" s="14" t="str">
        <f t="shared" ref="H217:H224" si="51">"IF "&amp; I200&amp;"&gt;0"</f>
        <v>IF MT12_1&gt;0</v>
      </c>
      <c r="I217" s="53" t="str">
        <f t="shared" si="43"/>
        <v>MT14_1</v>
      </c>
    </row>
    <row r="218" spans="1:9" ht="102" x14ac:dyDescent="0.25">
      <c r="A218" s="54" t="s">
        <v>343</v>
      </c>
      <c r="B218" s="75" t="str">
        <f>A218&amp;".For which activitiy do you use this provider the most?" &amp;'brand name'!A3</f>
        <v>MT14.2.For which activitiy do you use this provider the most?Indosat (IM3, Mentari, Matrix)</v>
      </c>
      <c r="C218" s="72" t="s">
        <v>344</v>
      </c>
      <c r="D218" s="70" t="s">
        <v>38</v>
      </c>
      <c r="E218" s="53">
        <v>2</v>
      </c>
      <c r="F218" s="53">
        <f t="shared" si="41"/>
        <v>520</v>
      </c>
      <c r="G218" s="53">
        <f t="shared" ref="G218:G228" si="52">G217+E218</f>
        <v>521</v>
      </c>
      <c r="H218" s="14" t="str">
        <f t="shared" si="51"/>
        <v>IF MT12_2&gt;0</v>
      </c>
      <c r="I218" s="53" t="str">
        <f t="shared" si="43"/>
        <v>MT14_2</v>
      </c>
    </row>
    <row r="219" spans="1:9" ht="102" x14ac:dyDescent="0.25">
      <c r="A219" s="54" t="s">
        <v>345</v>
      </c>
      <c r="B219" s="75" t="str">
        <f>A219&amp;".For which activitiy do you use this provider the most?" &amp;'brand name'!A4</f>
        <v>MT14.3.For which activitiy do you use this provider the most?XL</v>
      </c>
      <c r="C219" s="72" t="s">
        <v>342</v>
      </c>
      <c r="D219" s="70" t="s">
        <v>38</v>
      </c>
      <c r="E219" s="53">
        <v>2</v>
      </c>
      <c r="F219" s="53">
        <f t="shared" si="41"/>
        <v>522</v>
      </c>
      <c r="G219" s="53">
        <f t="shared" si="52"/>
        <v>523</v>
      </c>
      <c r="H219" s="14" t="str">
        <f t="shared" si="51"/>
        <v>IF MT12_3&gt;0</v>
      </c>
      <c r="I219" s="53" t="str">
        <f t="shared" si="43"/>
        <v>MT14_3</v>
      </c>
    </row>
    <row r="220" spans="1:9" ht="102" x14ac:dyDescent="0.25">
      <c r="A220" s="54" t="s">
        <v>346</v>
      </c>
      <c r="B220" s="75" t="str">
        <f>A220&amp;".For which activitiy do you use this provider the most?" &amp;'brand name'!A5</f>
        <v>MT14.4.For which activitiy do you use this provider the most?3</v>
      </c>
      <c r="C220" s="72" t="s">
        <v>344</v>
      </c>
      <c r="D220" s="70" t="s">
        <v>38</v>
      </c>
      <c r="E220" s="53">
        <v>2</v>
      </c>
      <c r="F220" s="53">
        <f t="shared" si="41"/>
        <v>524</v>
      </c>
      <c r="G220" s="53">
        <f t="shared" si="52"/>
        <v>525</v>
      </c>
      <c r="H220" s="14" t="str">
        <f t="shared" si="51"/>
        <v>IF MT12_4&gt;0</v>
      </c>
      <c r="I220" s="53" t="str">
        <f t="shared" si="43"/>
        <v>MT14_4</v>
      </c>
    </row>
    <row r="221" spans="1:9" ht="102" x14ac:dyDescent="0.25">
      <c r="A221" s="54" t="s">
        <v>347</v>
      </c>
      <c r="B221" s="75" t="str">
        <f>A221&amp;".For which activitiy do you use this provider the most?" &amp;'brand name'!A6</f>
        <v>MT14.5.For which activitiy do you use this provider the most?AXIS</v>
      </c>
      <c r="C221" s="72" t="s">
        <v>344</v>
      </c>
      <c r="D221" s="70" t="s">
        <v>38</v>
      </c>
      <c r="E221" s="53">
        <v>2</v>
      </c>
      <c r="F221" s="53">
        <f t="shared" ref="F221:F223" si="53">G220+1</f>
        <v>526</v>
      </c>
      <c r="G221" s="53">
        <f t="shared" ref="G221:G223" si="54">G220+E221</f>
        <v>527</v>
      </c>
      <c r="H221" s="14" t="str">
        <f t="shared" si="51"/>
        <v>IF MT12_5&gt;0</v>
      </c>
      <c r="I221" s="53" t="str">
        <f t="shared" si="43"/>
        <v>MT14_5</v>
      </c>
    </row>
    <row r="222" spans="1:9" ht="102" x14ac:dyDescent="0.25">
      <c r="A222" s="54" t="s">
        <v>348</v>
      </c>
      <c r="B222" s="75" t="str">
        <f>A222&amp;".For which activitiy do you use this provider the most?" &amp;'brand name'!A7</f>
        <v>MT14.6.For which activitiy do you use this provider the most?Esia</v>
      </c>
      <c r="C222" s="72" t="s">
        <v>344</v>
      </c>
      <c r="D222" s="70" t="s">
        <v>38</v>
      </c>
      <c r="E222" s="53">
        <v>2</v>
      </c>
      <c r="F222" s="53">
        <f t="shared" si="53"/>
        <v>528</v>
      </c>
      <c r="G222" s="53">
        <f t="shared" si="54"/>
        <v>529</v>
      </c>
      <c r="H222" s="14" t="str">
        <f t="shared" si="51"/>
        <v>IF MT12_6&gt;0</v>
      </c>
      <c r="I222" s="53" t="str">
        <f t="shared" si="43"/>
        <v>MT14_6</v>
      </c>
    </row>
    <row r="223" spans="1:9" ht="102" x14ac:dyDescent="0.25">
      <c r="A223" s="54" t="s">
        <v>349</v>
      </c>
      <c r="B223" s="75" t="str">
        <f>A223&amp;".For which activitiy do you use this provider the most?" &amp;'brand name'!A8</f>
        <v>MT14.7.For which activitiy do you use this provider the most?SmartFren</v>
      </c>
      <c r="C223" s="72" t="s">
        <v>344</v>
      </c>
      <c r="D223" s="70" t="s">
        <v>38</v>
      </c>
      <c r="E223" s="53">
        <v>2</v>
      </c>
      <c r="F223" s="53">
        <f t="shared" si="53"/>
        <v>530</v>
      </c>
      <c r="G223" s="53">
        <f t="shared" si="54"/>
        <v>531</v>
      </c>
      <c r="H223" s="14" t="str">
        <f t="shared" si="51"/>
        <v>IF MT12_7&gt;0</v>
      </c>
      <c r="I223" s="53" t="str">
        <f t="shared" si="43"/>
        <v>MT14_7</v>
      </c>
    </row>
    <row r="224" spans="1:9" ht="102" x14ac:dyDescent="0.25">
      <c r="A224" s="54" t="s">
        <v>350</v>
      </c>
      <c r="B224" s="75" t="str">
        <f>A224&amp;".For which activitiy do you use this provider the most?" &amp;'brand name'!A9</f>
        <v>MT14.96.For which activitiy do you use this provider the most?Other (specify)</v>
      </c>
      <c r="C224" s="72" t="s">
        <v>344</v>
      </c>
      <c r="D224" s="70" t="s">
        <v>38</v>
      </c>
      <c r="E224" s="53">
        <v>2</v>
      </c>
      <c r="F224" s="53">
        <f t="shared" ref="F224" si="55">G223+1</f>
        <v>532</v>
      </c>
      <c r="G224" s="53">
        <f t="shared" ref="G224" si="56">G223+E224</f>
        <v>533</v>
      </c>
      <c r="H224" s="14" t="str">
        <f t="shared" si="51"/>
        <v>IF MT12_96&gt;0</v>
      </c>
      <c r="I224" s="53" t="str">
        <f t="shared" si="43"/>
        <v>MT14_96</v>
      </c>
    </row>
    <row r="225" spans="1:9" ht="51" x14ac:dyDescent="0.25">
      <c r="A225" s="53" t="s">
        <v>351</v>
      </c>
      <c r="B225" s="80" t="str">
        <f>A225&amp;".What is your overall opinion of this provider? " &amp;'brand name'!A2</f>
        <v>MT14A.1.What is your overall opinion of this provider? Telkomsel (Simpati, Halo, Kartu As)</v>
      </c>
      <c r="C225" s="68" t="s">
        <v>352</v>
      </c>
      <c r="D225" s="70" t="s">
        <v>38</v>
      </c>
      <c r="E225" s="53">
        <v>1</v>
      </c>
      <c r="F225" s="53">
        <f t="shared" ref="F225" si="57">G224+1</f>
        <v>534</v>
      </c>
      <c r="G225" s="53">
        <f t="shared" ref="G225" si="58">G224+E225</f>
        <v>534</v>
      </c>
      <c r="H225" s="14" t="str">
        <f t="shared" ref="H225:H232" si="59">"IF "&amp; I200&amp;"&gt;0"</f>
        <v>IF MT12_1&gt;0</v>
      </c>
      <c r="I225" s="53" t="str">
        <f t="shared" si="43"/>
        <v>MT14A_1</v>
      </c>
    </row>
    <row r="226" spans="1:9" ht="51" x14ac:dyDescent="0.25">
      <c r="A226" s="53" t="s">
        <v>353</v>
      </c>
      <c r="B226" s="80" t="str">
        <f>A226&amp;".What is your overall opinion of this provider? " &amp;'brand name'!A3</f>
        <v>MT14A.2.What is your overall opinion of this provider? Indosat (IM3, Mentari, Matrix)</v>
      </c>
      <c r="C226" s="68" t="s">
        <v>352</v>
      </c>
      <c r="D226" s="70" t="s">
        <v>38</v>
      </c>
      <c r="E226" s="53">
        <v>1</v>
      </c>
      <c r="F226" s="53">
        <f>G225+1</f>
        <v>535</v>
      </c>
      <c r="G226" s="53">
        <f>G225+E226</f>
        <v>535</v>
      </c>
      <c r="H226" s="14" t="str">
        <f t="shared" si="59"/>
        <v>IF MT12_2&gt;0</v>
      </c>
      <c r="I226" s="53" t="str">
        <f t="shared" si="43"/>
        <v>MT14A_2</v>
      </c>
    </row>
    <row r="227" spans="1:9" ht="51" x14ac:dyDescent="0.25">
      <c r="A227" s="53" t="s">
        <v>354</v>
      </c>
      <c r="B227" s="80" t="str">
        <f>A227&amp;".What is your overall opinion of this provider? " &amp;'brand name'!A4</f>
        <v>MT14A.3.What is your overall opinion of this provider? XL</v>
      </c>
      <c r="C227" s="68" t="s">
        <v>352</v>
      </c>
      <c r="D227" s="70" t="s">
        <v>38</v>
      </c>
      <c r="E227" s="53">
        <v>1</v>
      </c>
      <c r="F227" s="53">
        <f t="shared" ref="F227:F244" si="60">G226+1</f>
        <v>536</v>
      </c>
      <c r="G227" s="53">
        <f t="shared" si="52"/>
        <v>536</v>
      </c>
      <c r="H227" s="14" t="str">
        <f t="shared" si="59"/>
        <v>IF MT12_3&gt;0</v>
      </c>
      <c r="I227" s="53" t="str">
        <f t="shared" si="43"/>
        <v>MT14A_3</v>
      </c>
    </row>
    <row r="228" spans="1:9" ht="51" x14ac:dyDescent="0.25">
      <c r="A228" s="53" t="s">
        <v>355</v>
      </c>
      <c r="B228" s="80" t="str">
        <f>A228&amp;".What is your overall opinion of this provider? " &amp;'brand name'!A5</f>
        <v>MT14A.4.What is your overall opinion of this provider? 3</v>
      </c>
      <c r="C228" s="74" t="s">
        <v>352</v>
      </c>
      <c r="D228" s="53" t="s">
        <v>38</v>
      </c>
      <c r="E228" s="53">
        <v>1</v>
      </c>
      <c r="F228" s="53">
        <f t="shared" si="60"/>
        <v>537</v>
      </c>
      <c r="G228" s="53">
        <f t="shared" si="52"/>
        <v>537</v>
      </c>
      <c r="H228" s="14" t="str">
        <f t="shared" si="59"/>
        <v>IF MT12_4&gt;0</v>
      </c>
      <c r="I228" s="53" t="str">
        <f t="shared" si="43"/>
        <v>MT14A_4</v>
      </c>
    </row>
    <row r="229" spans="1:9" ht="51" x14ac:dyDescent="0.25">
      <c r="A229" s="53" t="s">
        <v>356</v>
      </c>
      <c r="B229" s="80" t="str">
        <f>A229&amp;".What is your overall opinion of this provider? " &amp;'brand name'!A6</f>
        <v>MT14A.5.What is your overall opinion of this provider? AXIS</v>
      </c>
      <c r="C229" s="9" t="s">
        <v>352</v>
      </c>
      <c r="D229" s="53" t="s">
        <v>38</v>
      </c>
      <c r="E229" s="53">
        <v>1</v>
      </c>
      <c r="F229" s="53">
        <f t="shared" ref="F229:F231" si="61">G228+1</f>
        <v>538</v>
      </c>
      <c r="G229" s="53">
        <f t="shared" ref="G229:G231" si="62">G228+E229</f>
        <v>538</v>
      </c>
      <c r="H229" s="14" t="str">
        <f t="shared" si="59"/>
        <v>IF MT12_5&gt;0</v>
      </c>
      <c r="I229" s="53" t="str">
        <f t="shared" si="43"/>
        <v>MT14A_5</v>
      </c>
    </row>
    <row r="230" spans="1:9" ht="51" x14ac:dyDescent="0.25">
      <c r="A230" s="53" t="s">
        <v>357</v>
      </c>
      <c r="B230" s="80" t="str">
        <f>A230&amp;".What is your overall opinion of this provider? " &amp;'brand name'!A7</f>
        <v>MT14A.6.What is your overall opinion of this provider? Esia</v>
      </c>
      <c r="C230" s="9" t="s">
        <v>352</v>
      </c>
      <c r="D230" s="53" t="s">
        <v>38</v>
      </c>
      <c r="E230" s="53">
        <v>1</v>
      </c>
      <c r="F230" s="53">
        <f t="shared" si="61"/>
        <v>539</v>
      </c>
      <c r="G230" s="53">
        <f t="shared" si="62"/>
        <v>539</v>
      </c>
      <c r="H230" s="14" t="str">
        <f t="shared" si="59"/>
        <v>IF MT12_6&gt;0</v>
      </c>
      <c r="I230" s="53" t="str">
        <f t="shared" si="43"/>
        <v>MT14A_6</v>
      </c>
    </row>
    <row r="231" spans="1:9" s="3" customFormat="1" ht="51" x14ac:dyDescent="0.25">
      <c r="A231" s="53" t="s">
        <v>358</v>
      </c>
      <c r="B231" s="80" t="str">
        <f>A231&amp;".What is your overall opinion of this provider? " &amp;'brand name'!A8</f>
        <v>MT14A.7.What is your overall opinion of this provider? SmartFren</v>
      </c>
      <c r="C231" s="9" t="s">
        <v>352</v>
      </c>
      <c r="D231" s="53" t="s">
        <v>38</v>
      </c>
      <c r="E231" s="53">
        <v>1</v>
      </c>
      <c r="F231" s="53">
        <f t="shared" si="61"/>
        <v>540</v>
      </c>
      <c r="G231" s="53">
        <f t="shared" si="62"/>
        <v>540</v>
      </c>
      <c r="H231" s="14" t="str">
        <f t="shared" si="59"/>
        <v>IF MT12_7&gt;0</v>
      </c>
      <c r="I231" s="53" t="str">
        <f t="shared" si="43"/>
        <v>MT14A_7</v>
      </c>
    </row>
    <row r="232" spans="1:9" ht="51" x14ac:dyDescent="0.25">
      <c r="A232" s="53" t="s">
        <v>359</v>
      </c>
      <c r="B232" s="80" t="str">
        <f>A232&amp;".What is your overall opinion of this provider? " &amp;'brand name'!A9</f>
        <v>MT14A.96.What is your overall opinion of this provider? Other (specify)</v>
      </c>
      <c r="C232" s="9" t="s">
        <v>352</v>
      </c>
      <c r="D232" s="53" t="s">
        <v>38</v>
      </c>
      <c r="E232" s="53">
        <v>1</v>
      </c>
      <c r="F232" s="53">
        <f t="shared" ref="F232:F233" si="63">G231+1</f>
        <v>541</v>
      </c>
      <c r="G232" s="53">
        <f t="shared" ref="G232:G233" si="64">G231+E232</f>
        <v>541</v>
      </c>
      <c r="H232" s="14" t="str">
        <f t="shared" si="59"/>
        <v>IF MT12_96&gt;0</v>
      </c>
      <c r="I232" s="53" t="str">
        <f t="shared" si="43"/>
        <v>MT14A_96</v>
      </c>
    </row>
    <row r="233" spans="1:9" ht="114.75" x14ac:dyDescent="0.25">
      <c r="A233" s="53" t="s">
        <v>360</v>
      </c>
      <c r="B233" s="57" t="s">
        <v>361</v>
      </c>
      <c r="C233" s="57" t="s">
        <v>362</v>
      </c>
      <c r="D233" s="53" t="s">
        <v>38</v>
      </c>
      <c r="E233" s="53">
        <v>2</v>
      </c>
      <c r="F233" s="53">
        <f t="shared" si="63"/>
        <v>542</v>
      </c>
      <c r="G233" s="53">
        <f t="shared" si="64"/>
        <v>543</v>
      </c>
      <c r="H233" s="81" t="s">
        <v>363</v>
      </c>
      <c r="I233" s="53" t="str">
        <f t="shared" si="43"/>
        <v>MT14B</v>
      </c>
    </row>
    <row r="234" spans="1:9" ht="114.75" x14ac:dyDescent="0.25">
      <c r="A234" s="53" t="s">
        <v>364</v>
      </c>
      <c r="B234" s="57" t="str">
        <f>A234&amp;".Is your opinion of your mobile phone provider favorable or unfavorable? " &amp;"Value for money"</f>
        <v>MT14C.1.Is your opinion of your mobile phone provider favorable or unfavorable? Value for money</v>
      </c>
      <c r="C234" s="9" t="s">
        <v>352</v>
      </c>
      <c r="D234" s="53" t="s">
        <v>38</v>
      </c>
      <c r="E234" s="53">
        <v>1</v>
      </c>
      <c r="F234" s="53">
        <f>G233+1</f>
        <v>544</v>
      </c>
      <c r="G234" s="53">
        <f>G233+E234</f>
        <v>544</v>
      </c>
      <c r="H234" s="81" t="s">
        <v>365</v>
      </c>
      <c r="I234" s="53" t="str">
        <f t="shared" si="43"/>
        <v>MT14C_1</v>
      </c>
    </row>
    <row r="235" spans="1:9" ht="114.75" x14ac:dyDescent="0.25">
      <c r="A235" s="53" t="s">
        <v>366</v>
      </c>
      <c r="B235" s="57" t="str">
        <f>A235&amp;".Is your opinion of your mobile phone provider favorable or unfavorable? " &amp;"Customer service"</f>
        <v>MT14C.2.Is your opinion of your mobile phone provider favorable or unfavorable? Customer service</v>
      </c>
      <c r="C235" s="9" t="s">
        <v>352</v>
      </c>
      <c r="D235" s="53" t="s">
        <v>38</v>
      </c>
      <c r="E235" s="53">
        <v>1</v>
      </c>
      <c r="F235" s="53">
        <f t="shared" si="60"/>
        <v>545</v>
      </c>
      <c r="G235" s="53">
        <f t="shared" ref="G235:G244" si="65">G234+E235</f>
        <v>545</v>
      </c>
      <c r="H235" s="81" t="s">
        <v>365</v>
      </c>
      <c r="I235" s="53" t="str">
        <f t="shared" si="43"/>
        <v>MT14C_2</v>
      </c>
    </row>
    <row r="236" spans="1:9" ht="114.75" x14ac:dyDescent="0.25">
      <c r="A236" s="53" t="s">
        <v>367</v>
      </c>
      <c r="B236" s="57" t="str">
        <f>A236&amp;".Is your opinion of your mobile phone provider favorable or unfavorable? " &amp;"Affordability"</f>
        <v>MT14C.3.Is your opinion of your mobile phone provider favorable or unfavorable? Affordability</v>
      </c>
      <c r="C236" s="9" t="s">
        <v>352</v>
      </c>
      <c r="D236" s="53" t="s">
        <v>38</v>
      </c>
      <c r="E236" s="53">
        <v>1</v>
      </c>
      <c r="F236" s="53">
        <f t="shared" si="60"/>
        <v>546</v>
      </c>
      <c r="G236" s="53">
        <f t="shared" si="65"/>
        <v>546</v>
      </c>
      <c r="H236" s="81" t="s">
        <v>365</v>
      </c>
      <c r="I236" s="53" t="str">
        <f t="shared" si="43"/>
        <v>MT14C_3</v>
      </c>
    </row>
    <row r="237" spans="1:9" ht="114.75" x14ac:dyDescent="0.25">
      <c r="A237" s="53" t="s">
        <v>368</v>
      </c>
      <c r="B237" s="57" t="str">
        <f>A237&amp;".Is your opinion of your mobile phone provider favorable or unfavorable? " &amp;"Reliability"</f>
        <v>MT14C.4.Is your opinion of your mobile phone provider favorable or unfavorable? Reliability</v>
      </c>
      <c r="C237" s="9" t="s">
        <v>352</v>
      </c>
      <c r="D237" s="53" t="s">
        <v>38</v>
      </c>
      <c r="E237" s="53">
        <v>1</v>
      </c>
      <c r="F237" s="53">
        <f t="shared" si="60"/>
        <v>547</v>
      </c>
      <c r="G237" s="53">
        <f t="shared" si="65"/>
        <v>547</v>
      </c>
      <c r="H237" s="81" t="s">
        <v>365</v>
      </c>
      <c r="I237" s="53" t="str">
        <f t="shared" si="43"/>
        <v>MT14C_4</v>
      </c>
    </row>
    <row r="238" spans="1:9" ht="25.5" x14ac:dyDescent="0.25">
      <c r="A238" s="53" t="s">
        <v>369</v>
      </c>
      <c r="B238" s="57" t="str">
        <f>A238&amp;".You said you don’t personally have a SIM card. Do you use a SIM card that belongs to somebody else?"</f>
        <v>MT15.You said you don’t personally have a SIM card. Do you use a SIM card that belongs to somebody else?</v>
      </c>
      <c r="C238" s="9" t="s">
        <v>142</v>
      </c>
      <c r="D238" s="53" t="s">
        <v>38</v>
      </c>
      <c r="E238" s="53">
        <v>1</v>
      </c>
      <c r="F238" s="53">
        <f t="shared" si="60"/>
        <v>548</v>
      </c>
      <c r="G238" s="53">
        <f t="shared" si="65"/>
        <v>548</v>
      </c>
      <c r="H238" s="14" t="s">
        <v>370</v>
      </c>
      <c r="I238" s="53" t="str">
        <f t="shared" si="43"/>
        <v>MT15</v>
      </c>
    </row>
    <row r="239" spans="1:9" ht="25.5" x14ac:dyDescent="0.25">
      <c r="A239" s="53" t="s">
        <v>371</v>
      </c>
      <c r="B239" s="57" t="str">
        <f>A239&amp;".Whose SIM card you ever used? "&amp;Other!F2</f>
        <v>MT16.1.Whose SIM card you ever used? A member of this household</v>
      </c>
      <c r="C239" s="9" t="s">
        <v>142</v>
      </c>
      <c r="D239" s="53" t="s">
        <v>38</v>
      </c>
      <c r="E239" s="53">
        <v>1</v>
      </c>
      <c r="F239" s="53">
        <f t="shared" si="60"/>
        <v>549</v>
      </c>
      <c r="G239" s="53">
        <f t="shared" si="65"/>
        <v>549</v>
      </c>
      <c r="H239" s="14" t="s">
        <v>372</v>
      </c>
      <c r="I239" s="53" t="str">
        <f t="shared" si="43"/>
        <v>MT16_1</v>
      </c>
    </row>
    <row r="240" spans="1:9" ht="25.5" x14ac:dyDescent="0.25">
      <c r="A240" s="53" t="s">
        <v>373</v>
      </c>
      <c r="B240" s="57" t="str">
        <f>A240&amp;".Whose SIM card you ever used? "&amp;Other!F3</f>
        <v>MT16.2.Whose SIM card you ever used? A mobile money agent</v>
      </c>
      <c r="C240" s="9" t="s">
        <v>142</v>
      </c>
      <c r="D240" s="53" t="s">
        <v>38</v>
      </c>
      <c r="E240" s="53">
        <v>1</v>
      </c>
      <c r="F240" s="53">
        <f t="shared" si="60"/>
        <v>550</v>
      </c>
      <c r="G240" s="53">
        <f t="shared" si="65"/>
        <v>550</v>
      </c>
      <c r="H240" s="14" t="s">
        <v>372</v>
      </c>
      <c r="I240" s="53" t="str">
        <f t="shared" si="43"/>
        <v>MT16_2</v>
      </c>
    </row>
    <row r="241" spans="1:9" ht="25.5" x14ac:dyDescent="0.25">
      <c r="A241" s="53" t="s">
        <v>374</v>
      </c>
      <c r="B241" s="57" t="str">
        <f>A241&amp;".Whose SIM card you ever used? "&amp;Other!F4</f>
        <v>MT16.3.Whose SIM card you ever used? A friend or family member outside the household</v>
      </c>
      <c r="C241" s="9" t="s">
        <v>142</v>
      </c>
      <c r="D241" s="53" t="s">
        <v>38</v>
      </c>
      <c r="E241" s="53">
        <v>1</v>
      </c>
      <c r="F241" s="53">
        <f t="shared" si="60"/>
        <v>551</v>
      </c>
      <c r="G241" s="53">
        <f t="shared" si="65"/>
        <v>551</v>
      </c>
      <c r="H241" s="14" t="s">
        <v>372</v>
      </c>
      <c r="I241" s="53" t="str">
        <f t="shared" si="43"/>
        <v>MT16_3</v>
      </c>
    </row>
    <row r="242" spans="1:9" ht="25.5" x14ac:dyDescent="0.25">
      <c r="A242" s="54" t="s">
        <v>375</v>
      </c>
      <c r="B242" s="9" t="str">
        <f>A242&amp;".Whose SIM card you ever used? "&amp;Other!F5</f>
        <v>MT16.4.Whose SIM card you ever used? A neighbor</v>
      </c>
      <c r="C242" s="9" t="s">
        <v>142</v>
      </c>
      <c r="D242" s="53" t="s">
        <v>38</v>
      </c>
      <c r="E242" s="53">
        <v>1</v>
      </c>
      <c r="F242" s="53">
        <f t="shared" si="60"/>
        <v>552</v>
      </c>
      <c r="G242" s="53">
        <f t="shared" si="65"/>
        <v>552</v>
      </c>
      <c r="H242" s="55" t="s">
        <v>372</v>
      </c>
      <c r="I242" s="53" t="str">
        <f t="shared" si="43"/>
        <v>MT16_4</v>
      </c>
    </row>
    <row r="243" spans="1:9" ht="25.5" x14ac:dyDescent="0.25">
      <c r="A243" s="54" t="s">
        <v>376</v>
      </c>
      <c r="B243" s="9" t="str">
        <f>A243&amp;".Whose SIM card you ever used? "&amp;Other!F6</f>
        <v>MT16.96.Whose SIM card you ever used? Other (Specify)</v>
      </c>
      <c r="C243" s="9" t="s">
        <v>142</v>
      </c>
      <c r="D243" s="54" t="s">
        <v>38</v>
      </c>
      <c r="E243" s="53">
        <v>1</v>
      </c>
      <c r="F243" s="53">
        <f t="shared" si="60"/>
        <v>553</v>
      </c>
      <c r="G243" s="53">
        <f t="shared" si="65"/>
        <v>553</v>
      </c>
      <c r="H243" s="55" t="s">
        <v>372</v>
      </c>
      <c r="I243" s="53" t="str">
        <f t="shared" si="43"/>
        <v>MT16_96</v>
      </c>
    </row>
    <row r="244" spans="1:9" s="77" customFormat="1" ht="25.5" x14ac:dyDescent="0.2">
      <c r="A244" s="54" t="s">
        <v>377</v>
      </c>
      <c r="B244" s="9" t="str">
        <f>A244&amp;".Whose SIM card you ever used? "&amp;Other!F7</f>
        <v>MT16.99.Whose SIM card you ever used? DK</v>
      </c>
      <c r="C244" s="9" t="s">
        <v>142</v>
      </c>
      <c r="D244" s="54" t="s">
        <v>38</v>
      </c>
      <c r="E244" s="53">
        <v>1</v>
      </c>
      <c r="F244" s="53">
        <f t="shared" si="60"/>
        <v>554</v>
      </c>
      <c r="G244" s="53">
        <f t="shared" si="65"/>
        <v>554</v>
      </c>
      <c r="H244" s="55" t="s">
        <v>372</v>
      </c>
      <c r="I244" s="53" t="str">
        <f t="shared" si="43"/>
        <v>MT16_99</v>
      </c>
    </row>
    <row r="245" spans="1:9" s="3" customFormat="1" x14ac:dyDescent="0.25">
      <c r="A245" s="121" t="s">
        <v>378</v>
      </c>
      <c r="B245" s="122" t="s">
        <v>379</v>
      </c>
      <c r="C245" s="122" t="s">
        <v>379</v>
      </c>
      <c r="D245" s="122" t="s">
        <v>379</v>
      </c>
      <c r="E245" s="122" t="s">
        <v>379</v>
      </c>
      <c r="F245" s="122" t="s">
        <v>379</v>
      </c>
      <c r="G245" s="122" t="s">
        <v>379</v>
      </c>
      <c r="H245" s="122" t="s">
        <v>379</v>
      </c>
      <c r="I245" s="123" t="s">
        <v>379</v>
      </c>
    </row>
    <row r="246" spans="1:9" s="3" customFormat="1" x14ac:dyDescent="0.25">
      <c r="A246" s="51" t="s">
        <v>4</v>
      </c>
      <c r="B246" s="52" t="s">
        <v>5</v>
      </c>
      <c r="C246" s="52" t="s">
        <v>6</v>
      </c>
      <c r="D246" s="51" t="s">
        <v>7</v>
      </c>
      <c r="E246" s="51" t="s">
        <v>8</v>
      </c>
      <c r="F246" s="51" t="s">
        <v>9</v>
      </c>
      <c r="G246" s="51" t="s">
        <v>10</v>
      </c>
      <c r="H246" s="52" t="s">
        <v>11</v>
      </c>
      <c r="I246" s="51" t="s">
        <v>12</v>
      </c>
    </row>
    <row r="247" spans="1:9" s="3" customFormat="1" ht="76.5" x14ac:dyDescent="0.25">
      <c r="A247" s="53" t="s">
        <v>380</v>
      </c>
      <c r="B247" s="57" t="str">
        <f>A247&amp;".Apart from today, when was the last time you performed the following activities on your personal phone or on the phone that you borrow/rent from other people? "&amp;Other!G2</f>
        <v>MT17.1.Apart from today, when was the last time you performed the following activities on your personal phone or on the phone that you borrow/rent from other people? Made calls</v>
      </c>
      <c r="C247" s="57" t="s">
        <v>381</v>
      </c>
      <c r="D247" s="53" t="s">
        <v>38</v>
      </c>
      <c r="E247" s="53">
        <v>1</v>
      </c>
      <c r="F247" s="53">
        <f>G244+1</f>
        <v>555</v>
      </c>
      <c r="G247" s="53">
        <f>G244+E247</f>
        <v>555</v>
      </c>
      <c r="H247" s="14" t="s">
        <v>382</v>
      </c>
      <c r="I247" s="53" t="str">
        <f t="shared" ref="I247:I277" si="66">SUBSTITUTE(A247,".","_")</f>
        <v>MT17_1</v>
      </c>
    </row>
    <row r="248" spans="1:9" s="3" customFormat="1" ht="76.5" x14ac:dyDescent="0.25">
      <c r="A248" s="53" t="s">
        <v>383</v>
      </c>
      <c r="B248" s="57" t="str">
        <f>A248&amp;".Apart from today, when was the last time you performed the following activities on your personal phone or on the phone that you borrow/rent from other people? "&amp;Other!G3</f>
        <v>MT17.2.Apart from today, when was the last time you performed the following activities on your personal phone or on the phone that you borrow/rent from other people? Received calls</v>
      </c>
      <c r="C248" s="57" t="s">
        <v>381</v>
      </c>
      <c r="D248" s="53" t="s">
        <v>38</v>
      </c>
      <c r="E248" s="53">
        <v>1</v>
      </c>
      <c r="F248" s="53">
        <f>G247+1</f>
        <v>556</v>
      </c>
      <c r="G248" s="53">
        <f t="shared" ref="G248:G253" si="67">G247+E248</f>
        <v>556</v>
      </c>
      <c r="H248" s="14" t="s">
        <v>382</v>
      </c>
      <c r="I248" s="53" t="str">
        <f t="shared" si="66"/>
        <v>MT17_2</v>
      </c>
    </row>
    <row r="249" spans="1:9" s="3" customFormat="1" ht="76.5" x14ac:dyDescent="0.25">
      <c r="A249" s="53" t="s">
        <v>384</v>
      </c>
      <c r="B249" s="57" t="str">
        <f>A249&amp;".Apart from today, when was the last time you performed the following activities on your personal phone or on the phone that you borrow/rent from other people? "&amp;Other!G4</f>
        <v xml:space="preserve">MT17.3.Apart from today, when was the last time you performed the following activities on your personal phone or on the phone that you borrow/rent from other people? Sent/received text messages </v>
      </c>
      <c r="C249" s="57" t="s">
        <v>381</v>
      </c>
      <c r="D249" s="53" t="s">
        <v>38</v>
      </c>
      <c r="E249" s="53">
        <v>1</v>
      </c>
      <c r="F249" s="53">
        <f t="shared" ref="F249:F277" si="68">G248+1</f>
        <v>557</v>
      </c>
      <c r="G249" s="53">
        <f t="shared" si="67"/>
        <v>557</v>
      </c>
      <c r="H249" s="14" t="s">
        <v>382</v>
      </c>
      <c r="I249" s="53" t="str">
        <f t="shared" si="66"/>
        <v>MT17_3</v>
      </c>
    </row>
    <row r="250" spans="1:9" s="3" customFormat="1" ht="76.5" x14ac:dyDescent="0.25">
      <c r="A250" s="53" t="s">
        <v>385</v>
      </c>
      <c r="B250" s="57" t="str">
        <f>A250&amp;".Apart from today, when was the last time you performed the following activities on your personal phone or on the phone that you borrow/rent from other people? "&amp;Other!G5</f>
        <v>MT17.4.Apart from today, when was the last time you performed the following activities on your personal phone or on the phone that you borrow/rent from other people? Sent/received photo messages (MMS)</v>
      </c>
      <c r="C250" s="57" t="s">
        <v>381</v>
      </c>
      <c r="D250" s="53" t="s">
        <v>38</v>
      </c>
      <c r="E250" s="53">
        <v>1</v>
      </c>
      <c r="F250" s="53">
        <f t="shared" si="68"/>
        <v>558</v>
      </c>
      <c r="G250" s="53">
        <f t="shared" si="67"/>
        <v>558</v>
      </c>
      <c r="H250" s="14" t="s">
        <v>382</v>
      </c>
      <c r="I250" s="53" t="str">
        <f t="shared" si="66"/>
        <v>MT17_4</v>
      </c>
    </row>
    <row r="251" spans="1:9" s="3" customFormat="1" ht="76.5" x14ac:dyDescent="0.25">
      <c r="A251" s="53" t="s">
        <v>386</v>
      </c>
      <c r="B251" s="57" t="str">
        <f>A251&amp;".Apart from today, when was the last time you performed the following activities on your personal phone or on the phone that you borrow/rent from other people? "&amp;Other!G6</f>
        <v>MT17.5.Apart from today, when was the last time you performed the following activities on your personal phone or on the phone that you borrow/rent from other people? Used/browsed the internet</v>
      </c>
      <c r="C251" s="57" t="s">
        <v>381</v>
      </c>
      <c r="D251" s="53" t="s">
        <v>38</v>
      </c>
      <c r="E251" s="53">
        <v>1</v>
      </c>
      <c r="F251" s="53">
        <f t="shared" si="68"/>
        <v>559</v>
      </c>
      <c r="G251" s="53">
        <f t="shared" si="67"/>
        <v>559</v>
      </c>
      <c r="H251" s="14" t="s">
        <v>382</v>
      </c>
      <c r="I251" s="53" t="str">
        <f t="shared" si="66"/>
        <v>MT17_5</v>
      </c>
    </row>
    <row r="252" spans="1:9" s="3" customFormat="1" ht="76.5" x14ac:dyDescent="0.25">
      <c r="A252" s="53" t="s">
        <v>387</v>
      </c>
      <c r="B252" s="57" t="str">
        <f>A252&amp;".Apart from today, when was the last time you performed the following activities on your personal phone or on the phone that you borrow/rent from other people? "&amp;Other!G7</f>
        <v>MT17.6.Apart from today, when was the last time you performed the following activities on your personal phone or on the phone that you borrow/rent from other people? Downloaded music, video or games</v>
      </c>
      <c r="C252" s="57" t="s">
        <v>381</v>
      </c>
      <c r="D252" s="53" t="s">
        <v>38</v>
      </c>
      <c r="E252" s="53">
        <v>1</v>
      </c>
      <c r="F252" s="53">
        <f t="shared" si="68"/>
        <v>560</v>
      </c>
      <c r="G252" s="53">
        <f t="shared" si="67"/>
        <v>560</v>
      </c>
      <c r="H252" s="14" t="s">
        <v>382</v>
      </c>
      <c r="I252" s="53" t="str">
        <f t="shared" si="66"/>
        <v>MT17_6</v>
      </c>
    </row>
    <row r="253" spans="1:9" s="3" customFormat="1" ht="76.5" x14ac:dyDescent="0.25">
      <c r="A253" s="53" t="s">
        <v>388</v>
      </c>
      <c r="B253" s="57" t="str">
        <f>A253&amp;".Apart from today, when was the last time you performed the following activities on your personal phone or on the phone that you borrow/rent from other people? "&amp;Other!G8</f>
        <v>MT17.7.Apart from today, when was the last time you performed the following activities on your personal phone or on the phone that you borrow/rent from other people? Made a financial transaction such as send/receive money, pay debt, or banking transaction</v>
      </c>
      <c r="C253" s="57" t="s">
        <v>381</v>
      </c>
      <c r="D253" s="53" t="s">
        <v>38</v>
      </c>
      <c r="E253" s="53">
        <v>1</v>
      </c>
      <c r="F253" s="53">
        <f t="shared" si="68"/>
        <v>561</v>
      </c>
      <c r="G253" s="53">
        <f t="shared" si="67"/>
        <v>561</v>
      </c>
      <c r="H253" s="14" t="s">
        <v>382</v>
      </c>
      <c r="I253" s="53" t="str">
        <f t="shared" si="66"/>
        <v>MT17_7</v>
      </c>
    </row>
    <row r="254" spans="1:9" s="3" customFormat="1" ht="76.5" x14ac:dyDescent="0.25">
      <c r="A254" s="53" t="s">
        <v>389</v>
      </c>
      <c r="B254" s="57" t="str">
        <f>A254&amp;".Apart from today, when was the last time you performed the following activities on your personal phone or on the phone that you borrow/rent from other people? "&amp;Other!G9</f>
        <v>MT17.8.Apart from today, when was the last time you performed the following activities on your personal phone or on the phone that you borrow/rent from other people? Used “Call Tunes” or other audio/video on-demand from operator services</v>
      </c>
      <c r="C254" s="57" t="s">
        <v>381</v>
      </c>
      <c r="D254" s="53" t="s">
        <v>38</v>
      </c>
      <c r="E254" s="53">
        <v>1</v>
      </c>
      <c r="F254" s="53">
        <f t="shared" si="68"/>
        <v>562</v>
      </c>
      <c r="G254" s="53">
        <f t="shared" ref="G254:G277" si="69">G253+E254</f>
        <v>562</v>
      </c>
      <c r="H254" s="14" t="s">
        <v>382</v>
      </c>
      <c r="I254" s="53" t="str">
        <f t="shared" si="66"/>
        <v>MT17_8</v>
      </c>
    </row>
    <row r="255" spans="1:9" s="3" customFormat="1" ht="76.5" x14ac:dyDescent="0.25">
      <c r="A255" s="53" t="s">
        <v>390</v>
      </c>
      <c r="B255" s="57" t="str">
        <f>A255&amp;".Apart from today, when was the last time you performed the following activities on your personal phone or on the phone that you borrow/rent from other people? "&amp;Other!G10</f>
        <v>MT17.9.Apart from today, when was the last time you performed the following activities on your personal phone or on the phone that you borrow/rent from other people? Used Facebook, WhatsApp, Twitter, Instagram or another social networking site</v>
      </c>
      <c r="C255" s="57" t="s">
        <v>381</v>
      </c>
      <c r="D255" s="53" t="s">
        <v>38</v>
      </c>
      <c r="E255" s="53">
        <v>1</v>
      </c>
      <c r="F255" s="53">
        <f t="shared" si="68"/>
        <v>563</v>
      </c>
      <c r="G255" s="53">
        <f t="shared" si="69"/>
        <v>563</v>
      </c>
      <c r="H255" s="14" t="s">
        <v>382</v>
      </c>
      <c r="I255" s="53" t="str">
        <f t="shared" si="66"/>
        <v>MT17_9</v>
      </c>
    </row>
    <row r="256" spans="1:9" s="3" customFormat="1" ht="76.5" x14ac:dyDescent="0.25">
      <c r="A256" s="53" t="s">
        <v>391</v>
      </c>
      <c r="B256" s="57" t="str">
        <f>A256&amp;".Apart from today, when was the last time you performed the following activities on your personal phone or on the phone that you borrow/rent from other people? "&amp;Other!G11</f>
        <v>MT17.10.Apart from today, when was the last time you performed the following activities on your personal phone or on the phone that you borrow/rent from other people? Took a color picture</v>
      </c>
      <c r="C256" s="57" t="s">
        <v>381</v>
      </c>
      <c r="D256" s="53" t="s">
        <v>38</v>
      </c>
      <c r="E256" s="53">
        <v>1</v>
      </c>
      <c r="F256" s="53">
        <f t="shared" si="68"/>
        <v>564</v>
      </c>
      <c r="G256" s="53">
        <f t="shared" si="69"/>
        <v>564</v>
      </c>
      <c r="H256" s="14" t="s">
        <v>382</v>
      </c>
      <c r="I256" s="53" t="str">
        <f t="shared" si="66"/>
        <v>MT17_10</v>
      </c>
    </row>
    <row r="257" spans="1:9" s="3" customFormat="1" ht="76.5" x14ac:dyDescent="0.25">
      <c r="A257" s="53" t="s">
        <v>392</v>
      </c>
      <c r="B257" s="57" t="str">
        <f>A257&amp;".Apart from today, when was the last time you performed the following activities on your personal phone or on the phone that you borrow/rent from other people? "&amp;Other!G12</f>
        <v>MT17.11.Apart from today, when was the last time you performed the following activities on your personal phone or on the phone that you borrow/rent from other people? Downloaded/used any other mobile application</v>
      </c>
      <c r="C257" s="57" t="s">
        <v>381</v>
      </c>
      <c r="D257" s="53" t="s">
        <v>38</v>
      </c>
      <c r="E257" s="53">
        <v>1</v>
      </c>
      <c r="F257" s="53">
        <f t="shared" si="68"/>
        <v>565</v>
      </c>
      <c r="G257" s="53">
        <f t="shared" si="69"/>
        <v>565</v>
      </c>
      <c r="H257" s="14" t="s">
        <v>382</v>
      </c>
      <c r="I257" s="53" t="str">
        <f t="shared" si="66"/>
        <v>MT17_11</v>
      </c>
    </row>
    <row r="258" spans="1:9" s="3" customFormat="1" ht="76.5" x14ac:dyDescent="0.25">
      <c r="A258" s="53" t="s">
        <v>393</v>
      </c>
      <c r="B258" s="57" t="str">
        <f>A258&amp;".Apart from today, when was the last time you performed the following activities on your personal phone or on the phone that you borrow/rent from other people? "&amp;Other!G13</f>
        <v>MT17.12.Apart from today, when was the last time you performed the following activities on your personal phone or on the phone that you borrow/rent from other people? Used touch screen</v>
      </c>
      <c r="C258" s="57" t="s">
        <v>381</v>
      </c>
      <c r="D258" s="53" t="s">
        <v>38</v>
      </c>
      <c r="E258" s="53">
        <v>1</v>
      </c>
      <c r="F258" s="53">
        <f t="shared" si="68"/>
        <v>566</v>
      </c>
      <c r="G258" s="53">
        <f t="shared" si="69"/>
        <v>566</v>
      </c>
      <c r="H258" s="14" t="s">
        <v>382</v>
      </c>
      <c r="I258" s="53" t="str">
        <f t="shared" si="66"/>
        <v>MT17_12</v>
      </c>
    </row>
    <row r="259" spans="1:9" s="3" customFormat="1" ht="76.5" x14ac:dyDescent="0.25">
      <c r="A259" s="53" t="s">
        <v>394</v>
      </c>
      <c r="B259" s="57" t="str">
        <f>A259&amp;".Apart from today, when was the last time you performed the following activities on your personal phone or on the phone that you borrow/rent from other people? "&amp;Other!G14</f>
        <v>MT17.13.Apart from today, when was the last time you performed the following activities on your personal phone or on the phone that you borrow/rent from other people? Navigation, maps</v>
      </c>
      <c r="C259" s="57" t="s">
        <v>381</v>
      </c>
      <c r="D259" s="53" t="s">
        <v>38</v>
      </c>
      <c r="E259" s="53">
        <v>1</v>
      </c>
      <c r="F259" s="53">
        <f t="shared" si="68"/>
        <v>567</v>
      </c>
      <c r="G259" s="53">
        <f t="shared" si="69"/>
        <v>567</v>
      </c>
      <c r="H259" s="14" t="s">
        <v>382</v>
      </c>
      <c r="I259" s="53" t="str">
        <f t="shared" si="66"/>
        <v>MT17_13</v>
      </c>
    </row>
    <row r="260" spans="1:9" s="3" customFormat="1" ht="76.5" x14ac:dyDescent="0.25">
      <c r="A260" s="53" t="s">
        <v>395</v>
      </c>
      <c r="B260" s="57" t="s">
        <v>396</v>
      </c>
      <c r="C260" s="57" t="s">
        <v>397</v>
      </c>
      <c r="D260" s="53" t="s">
        <v>38</v>
      </c>
      <c r="E260" s="53">
        <v>2</v>
      </c>
      <c r="F260" s="53">
        <f t="shared" ref="F260:F265" si="70">G259+1</f>
        <v>568</v>
      </c>
      <c r="G260" s="53">
        <f t="shared" ref="G260:G265" si="71">G259+E260</f>
        <v>569</v>
      </c>
      <c r="H260" s="14" t="s">
        <v>382</v>
      </c>
      <c r="I260" s="53" t="str">
        <f t="shared" si="66"/>
        <v>MT17A_1</v>
      </c>
    </row>
    <row r="261" spans="1:9" s="3" customFormat="1" ht="76.5" x14ac:dyDescent="0.25">
      <c r="A261" s="53" t="s">
        <v>398</v>
      </c>
      <c r="B261" s="57" t="s">
        <v>399</v>
      </c>
      <c r="C261" s="57" t="s">
        <v>397</v>
      </c>
      <c r="D261" s="53" t="s">
        <v>38</v>
      </c>
      <c r="E261" s="53">
        <v>2</v>
      </c>
      <c r="F261" s="53">
        <f t="shared" si="70"/>
        <v>570</v>
      </c>
      <c r="G261" s="53">
        <f t="shared" si="71"/>
        <v>571</v>
      </c>
      <c r="H261" s="14" t="s">
        <v>382</v>
      </c>
      <c r="I261" s="53" t="str">
        <f t="shared" si="66"/>
        <v>MT17A_2</v>
      </c>
    </row>
    <row r="262" spans="1:9" s="3" customFormat="1" ht="76.5" x14ac:dyDescent="0.25">
      <c r="A262" s="53" t="s">
        <v>400</v>
      </c>
      <c r="B262" s="57" t="s">
        <v>401</v>
      </c>
      <c r="C262" s="57" t="s">
        <v>397</v>
      </c>
      <c r="D262" s="53" t="s">
        <v>38</v>
      </c>
      <c r="E262" s="53">
        <v>2</v>
      </c>
      <c r="F262" s="53">
        <f t="shared" si="70"/>
        <v>572</v>
      </c>
      <c r="G262" s="53">
        <f t="shared" si="71"/>
        <v>573</v>
      </c>
      <c r="H262" s="14" t="s">
        <v>382</v>
      </c>
      <c r="I262" s="53" t="str">
        <f t="shared" si="66"/>
        <v>MT17A_3</v>
      </c>
    </row>
    <row r="263" spans="1:9" s="3" customFormat="1" ht="76.5" x14ac:dyDescent="0.25">
      <c r="A263" s="53" t="s">
        <v>402</v>
      </c>
      <c r="B263" s="57" t="s">
        <v>403</v>
      </c>
      <c r="C263" s="57" t="s">
        <v>397</v>
      </c>
      <c r="D263" s="53" t="s">
        <v>38</v>
      </c>
      <c r="E263" s="53">
        <v>2</v>
      </c>
      <c r="F263" s="53">
        <f t="shared" si="70"/>
        <v>574</v>
      </c>
      <c r="G263" s="53">
        <f t="shared" si="71"/>
        <v>575</v>
      </c>
      <c r="H263" s="14" t="s">
        <v>382</v>
      </c>
      <c r="I263" s="53" t="str">
        <f t="shared" si="66"/>
        <v>MT17A_4</v>
      </c>
    </row>
    <row r="264" spans="1:9" s="3" customFormat="1" ht="76.5" x14ac:dyDescent="0.25">
      <c r="A264" s="53" t="s">
        <v>404</v>
      </c>
      <c r="B264" s="57" t="s">
        <v>405</v>
      </c>
      <c r="C264" s="57" t="s">
        <v>397</v>
      </c>
      <c r="D264" s="53" t="s">
        <v>38</v>
      </c>
      <c r="E264" s="53">
        <v>2</v>
      </c>
      <c r="F264" s="53">
        <f t="shared" si="70"/>
        <v>576</v>
      </c>
      <c r="G264" s="53">
        <f t="shared" si="71"/>
        <v>577</v>
      </c>
      <c r="H264" s="14" t="s">
        <v>382</v>
      </c>
      <c r="I264" s="53" t="str">
        <f t="shared" si="66"/>
        <v>MT17A_5</v>
      </c>
    </row>
    <row r="265" spans="1:9" s="3" customFormat="1" ht="76.5" x14ac:dyDescent="0.25">
      <c r="A265" s="53" t="s">
        <v>406</v>
      </c>
      <c r="B265" s="57" t="s">
        <v>407</v>
      </c>
      <c r="C265" s="57" t="s">
        <v>397</v>
      </c>
      <c r="D265" s="53" t="s">
        <v>38</v>
      </c>
      <c r="E265" s="53">
        <v>2</v>
      </c>
      <c r="F265" s="53">
        <f t="shared" si="70"/>
        <v>578</v>
      </c>
      <c r="G265" s="53">
        <f t="shared" si="71"/>
        <v>579</v>
      </c>
      <c r="H265" s="14" t="s">
        <v>382</v>
      </c>
      <c r="I265" s="53" t="str">
        <f t="shared" si="66"/>
        <v>MT17A_6</v>
      </c>
    </row>
    <row r="266" spans="1:9" s="3" customFormat="1" ht="25.5" x14ac:dyDescent="0.25">
      <c r="A266" s="53" t="s">
        <v>408</v>
      </c>
      <c r="B266" s="57" t="str">
        <f>A266&amp;".Who do you turn to for advice or help with a mobile phone? "&amp;Other!H2</f>
        <v>MT18.1.Who do you turn to for advice or help with a mobile phone? I do not ask anyone, do not need help</v>
      </c>
      <c r="C266" s="57" t="s">
        <v>142</v>
      </c>
      <c r="D266" s="53" t="s">
        <v>38</v>
      </c>
      <c r="E266" s="53">
        <v>1</v>
      </c>
      <c r="F266" s="53">
        <f t="shared" ref="F266:F267" si="72">G265+1</f>
        <v>580</v>
      </c>
      <c r="G266" s="53">
        <f t="shared" ref="G266:G267" si="73">G265+E266</f>
        <v>580</v>
      </c>
      <c r="H266" s="14" t="s">
        <v>382</v>
      </c>
      <c r="I266" s="53" t="str">
        <f t="shared" si="66"/>
        <v>MT18_1</v>
      </c>
    </row>
    <row r="267" spans="1:9" s="3" customFormat="1" ht="25.5" x14ac:dyDescent="0.25">
      <c r="A267" s="53" t="s">
        <v>409</v>
      </c>
      <c r="B267" s="57" t="str">
        <f>A267&amp;".Who do you turn to for advice or help with a mobile phone? "&amp;Other!H3</f>
        <v>MT18.2.Who do you turn to for advice or help with a mobile phone? Male relative</v>
      </c>
      <c r="C267" s="57" t="s">
        <v>142</v>
      </c>
      <c r="D267" s="53" t="s">
        <v>38</v>
      </c>
      <c r="E267" s="53">
        <v>1</v>
      </c>
      <c r="F267" s="53">
        <f t="shared" si="72"/>
        <v>581</v>
      </c>
      <c r="G267" s="53">
        <f t="shared" si="73"/>
        <v>581</v>
      </c>
      <c r="H267" s="14" t="s">
        <v>382</v>
      </c>
      <c r="I267" s="53" t="str">
        <f t="shared" si="66"/>
        <v>MT18_2</v>
      </c>
    </row>
    <row r="268" spans="1:9" s="3" customFormat="1" ht="25.5" x14ac:dyDescent="0.25">
      <c r="A268" s="53" t="s">
        <v>410</v>
      </c>
      <c r="B268" s="57" t="str">
        <f>A268&amp;".Who do you turn to for advice or help with a mobile phone? "&amp;Other!H4</f>
        <v>MT18.3.Who do you turn to for advice or help with a mobile phone? Female relative</v>
      </c>
      <c r="C268" s="57" t="s">
        <v>142</v>
      </c>
      <c r="D268" s="53" t="s">
        <v>38</v>
      </c>
      <c r="E268" s="53">
        <v>1</v>
      </c>
      <c r="F268" s="53">
        <f t="shared" si="68"/>
        <v>582</v>
      </c>
      <c r="G268" s="53">
        <f t="shared" si="69"/>
        <v>582</v>
      </c>
      <c r="H268" s="14" t="s">
        <v>382</v>
      </c>
      <c r="I268" s="53" t="str">
        <f t="shared" si="66"/>
        <v>MT18_3</v>
      </c>
    </row>
    <row r="269" spans="1:9" s="3" customFormat="1" ht="25.5" x14ac:dyDescent="0.25">
      <c r="A269" s="53" t="s">
        <v>411</v>
      </c>
      <c r="B269" s="57" t="str">
        <f>A269&amp;".Who do you turn to for advice or help with a mobile phone? "&amp;Other!H5</f>
        <v>MT18.4.Who do you turn to for advice or help with a mobile phone? Male friend</v>
      </c>
      <c r="C269" s="57" t="s">
        <v>142</v>
      </c>
      <c r="D269" s="53" t="s">
        <v>38</v>
      </c>
      <c r="E269" s="53">
        <v>1</v>
      </c>
      <c r="F269" s="53">
        <f t="shared" si="68"/>
        <v>583</v>
      </c>
      <c r="G269" s="53">
        <f t="shared" si="69"/>
        <v>583</v>
      </c>
      <c r="H269" s="14" t="s">
        <v>382</v>
      </c>
      <c r="I269" s="53" t="str">
        <f t="shared" si="66"/>
        <v>MT18_4</v>
      </c>
    </row>
    <row r="270" spans="1:9" s="3" customFormat="1" ht="25.5" x14ac:dyDescent="0.25">
      <c r="A270" s="53" t="s">
        <v>412</v>
      </c>
      <c r="B270" s="57" t="str">
        <f>A270&amp;".Who do you turn to for advice or help with a mobile phone? "&amp;Other!H6</f>
        <v>MT18.5.Who do you turn to for advice or help with a mobile phone? Female friend</v>
      </c>
      <c r="C270" s="57" t="s">
        <v>142</v>
      </c>
      <c r="D270" s="53" t="s">
        <v>38</v>
      </c>
      <c r="E270" s="53">
        <v>1</v>
      </c>
      <c r="F270" s="53">
        <f t="shared" si="68"/>
        <v>584</v>
      </c>
      <c r="G270" s="53">
        <f t="shared" si="69"/>
        <v>584</v>
      </c>
      <c r="H270" s="14" t="s">
        <v>382</v>
      </c>
      <c r="I270" s="53" t="str">
        <f t="shared" si="66"/>
        <v>MT18_5</v>
      </c>
    </row>
    <row r="271" spans="1:9" s="3" customFormat="1" ht="25.5" x14ac:dyDescent="0.25">
      <c r="A271" s="53" t="s">
        <v>413</v>
      </c>
      <c r="B271" s="57" t="str">
        <f>A271&amp;".Who do you turn to for advice or help with a mobile phone? "&amp;Other!H7</f>
        <v>MT18.6.Who do you turn to for advice or help with a mobile phone? Mobile money agent</v>
      </c>
      <c r="C271" s="57" t="s">
        <v>142</v>
      </c>
      <c r="D271" s="53" t="s">
        <v>38</v>
      </c>
      <c r="E271" s="53">
        <v>1</v>
      </c>
      <c r="F271" s="53">
        <f t="shared" si="68"/>
        <v>585</v>
      </c>
      <c r="G271" s="53">
        <f t="shared" si="69"/>
        <v>585</v>
      </c>
      <c r="H271" s="14" t="s">
        <v>382</v>
      </c>
      <c r="I271" s="53" t="str">
        <f t="shared" si="66"/>
        <v>MT18_6</v>
      </c>
    </row>
    <row r="272" spans="1:9" s="3" customFormat="1" ht="25.5" x14ac:dyDescent="0.25">
      <c r="A272" s="53" t="s">
        <v>414</v>
      </c>
      <c r="B272" s="57" t="str">
        <f>A272&amp;".Who do you turn to for advice or help with a mobile phone? "&amp;Other!H8</f>
        <v>MT18.7.Who do you turn to for advice or help with a mobile phone? Recharge shop, retail outlet</v>
      </c>
      <c r="C272" s="57" t="s">
        <v>142</v>
      </c>
      <c r="D272" s="53" t="s">
        <v>38</v>
      </c>
      <c r="E272" s="53">
        <v>1</v>
      </c>
      <c r="F272" s="53">
        <f t="shared" si="68"/>
        <v>586</v>
      </c>
      <c r="G272" s="53">
        <f t="shared" si="69"/>
        <v>586</v>
      </c>
      <c r="H272" s="14" t="s">
        <v>382</v>
      </c>
      <c r="I272" s="53" t="str">
        <f t="shared" si="66"/>
        <v>MT18_7</v>
      </c>
    </row>
    <row r="273" spans="1:9" s="3" customFormat="1" ht="25.5" x14ac:dyDescent="0.25">
      <c r="A273" s="53" t="s">
        <v>415</v>
      </c>
      <c r="B273" s="57" t="str">
        <f>A273&amp;".Who do you turn to for advice or help with a mobile phone? "&amp;Other!H9</f>
        <v>MT18.96.Who do you turn to for advice or help with a mobile phone? Other(Specify)</v>
      </c>
      <c r="C273" s="57" t="s">
        <v>142</v>
      </c>
      <c r="D273" s="53" t="s">
        <v>38</v>
      </c>
      <c r="E273" s="53">
        <v>1</v>
      </c>
      <c r="F273" s="53">
        <f t="shared" si="68"/>
        <v>587</v>
      </c>
      <c r="G273" s="53">
        <f t="shared" si="69"/>
        <v>587</v>
      </c>
      <c r="H273" s="14" t="s">
        <v>382</v>
      </c>
      <c r="I273" s="53" t="str">
        <f t="shared" si="66"/>
        <v>MT18_96</v>
      </c>
    </row>
    <row r="274" spans="1:9" s="3" customFormat="1" ht="25.5" x14ac:dyDescent="0.25">
      <c r="A274" s="53" t="s">
        <v>416</v>
      </c>
      <c r="B274" s="57" t="str">
        <f>A274&amp;".If you had access to a phone, do you believe you could perform the following activities without help from other people? "&amp;Other!I2</f>
        <v>MT18A.1.If you had access to a phone, do you believe you could perform the following activities without help from other people? Make calls/receive calls</v>
      </c>
      <c r="C274" s="57" t="s">
        <v>142</v>
      </c>
      <c r="D274" s="53" t="s">
        <v>38</v>
      </c>
      <c r="E274" s="53">
        <v>1</v>
      </c>
      <c r="F274" s="53">
        <f t="shared" si="68"/>
        <v>588</v>
      </c>
      <c r="G274" s="53">
        <f t="shared" si="69"/>
        <v>588</v>
      </c>
      <c r="H274" s="14" t="s">
        <v>417</v>
      </c>
      <c r="I274" s="53" t="str">
        <f t="shared" si="66"/>
        <v>MT18A_1</v>
      </c>
    </row>
    <row r="275" spans="1:9" s="3" customFormat="1" ht="25.5" x14ac:dyDescent="0.25">
      <c r="A275" s="53" t="s">
        <v>418</v>
      </c>
      <c r="B275" s="57" t="str">
        <f>A275&amp;".If you had access to a phone, do you believe you could perform the following activities without help from other people? "&amp;Other!I3</f>
        <v>MT18A.2.If you had access to a phone, do you believe you could perform the following activities without help from other people? Navigate the menu on the phone</v>
      </c>
      <c r="C275" s="57" t="s">
        <v>142</v>
      </c>
      <c r="D275" s="53" t="s">
        <v>38</v>
      </c>
      <c r="E275" s="53">
        <v>1</v>
      </c>
      <c r="F275" s="53">
        <f t="shared" si="68"/>
        <v>589</v>
      </c>
      <c r="G275" s="53">
        <f t="shared" si="69"/>
        <v>589</v>
      </c>
      <c r="H275" s="14" t="s">
        <v>417</v>
      </c>
      <c r="I275" s="53" t="str">
        <f t="shared" si="66"/>
        <v>MT18A_2</v>
      </c>
    </row>
    <row r="276" spans="1:9" ht="25.5" x14ac:dyDescent="0.25">
      <c r="A276" s="53" t="s">
        <v>419</v>
      </c>
      <c r="B276" s="57" t="str">
        <f>A276&amp;".If you had access to a phone, do you believe you could perform the following activities without help from other people? "&amp;Other!I4</f>
        <v>MT18A.3.If you had access to a phone, do you believe you could perform the following activities without help from other people? Send/receive text messages</v>
      </c>
      <c r="C276" s="57" t="s">
        <v>142</v>
      </c>
      <c r="D276" s="53" t="s">
        <v>38</v>
      </c>
      <c r="E276" s="53">
        <v>1</v>
      </c>
      <c r="F276" s="53">
        <f t="shared" si="68"/>
        <v>590</v>
      </c>
      <c r="G276" s="53">
        <f t="shared" si="69"/>
        <v>590</v>
      </c>
      <c r="H276" s="14" t="s">
        <v>417</v>
      </c>
      <c r="I276" s="53" t="str">
        <f t="shared" si="66"/>
        <v>MT18A_3</v>
      </c>
    </row>
    <row r="277" spans="1:9" ht="25.5" x14ac:dyDescent="0.25">
      <c r="A277" s="53" t="s">
        <v>420</v>
      </c>
      <c r="B277" s="57" t="str">
        <f>A277&amp;".If you had access to a phone, do you believe you could perform the following activities without help from other people? "&amp;Other!I5</f>
        <v>MT18A.4.If you had access to a phone, do you believe you could perform the following activities without help from other people? Use/browse the internet</v>
      </c>
      <c r="C277" s="57" t="s">
        <v>142</v>
      </c>
      <c r="D277" s="53" t="s">
        <v>38</v>
      </c>
      <c r="E277" s="53">
        <v>1</v>
      </c>
      <c r="F277" s="53">
        <f t="shared" si="68"/>
        <v>591</v>
      </c>
      <c r="G277" s="53">
        <f t="shared" si="69"/>
        <v>591</v>
      </c>
      <c r="H277" s="14" t="s">
        <v>417</v>
      </c>
      <c r="I277" s="53" t="str">
        <f t="shared" si="66"/>
        <v>MT18A_4</v>
      </c>
    </row>
    <row r="278" spans="1:9" x14ac:dyDescent="0.25">
      <c r="A278" s="121" t="s">
        <v>421</v>
      </c>
      <c r="B278" s="122" t="s">
        <v>379</v>
      </c>
      <c r="C278" s="122" t="s">
        <v>379</v>
      </c>
      <c r="D278" s="122" t="s">
        <v>379</v>
      </c>
      <c r="E278" s="122" t="s">
        <v>379</v>
      </c>
      <c r="F278" s="122" t="s">
        <v>379</v>
      </c>
      <c r="G278" s="122" t="s">
        <v>379</v>
      </c>
      <c r="H278" s="122" t="s">
        <v>379</v>
      </c>
      <c r="I278" s="123" t="s">
        <v>379</v>
      </c>
    </row>
    <row r="279" spans="1:9" x14ac:dyDescent="0.25">
      <c r="A279" s="121" t="s">
        <v>422</v>
      </c>
      <c r="B279" s="122" t="s">
        <v>379</v>
      </c>
      <c r="C279" s="122" t="s">
        <v>379</v>
      </c>
      <c r="D279" s="122" t="s">
        <v>379</v>
      </c>
      <c r="E279" s="122" t="s">
        <v>379</v>
      </c>
      <c r="F279" s="122" t="s">
        <v>379</v>
      </c>
      <c r="G279" s="122" t="s">
        <v>379</v>
      </c>
      <c r="H279" s="122" t="s">
        <v>379</v>
      </c>
      <c r="I279" s="123" t="s">
        <v>379</v>
      </c>
    </row>
    <row r="280" spans="1:9" x14ac:dyDescent="0.25">
      <c r="A280" s="51" t="s">
        <v>4</v>
      </c>
      <c r="B280" s="52" t="s">
        <v>5</v>
      </c>
      <c r="C280" s="52" t="s">
        <v>6</v>
      </c>
      <c r="D280" s="51" t="s">
        <v>7</v>
      </c>
      <c r="E280" s="51" t="s">
        <v>8</v>
      </c>
      <c r="F280" s="51" t="s">
        <v>9</v>
      </c>
      <c r="G280" s="51" t="s">
        <v>10</v>
      </c>
      <c r="H280" s="52" t="s">
        <v>11</v>
      </c>
      <c r="I280" s="51" t="s">
        <v>12</v>
      </c>
    </row>
    <row r="281" spans="1:9" ht="25.5" x14ac:dyDescent="0.25">
      <c r="A281" s="53" t="s">
        <v>423</v>
      </c>
      <c r="B281" s="9" t="str">
        <f>A281&amp;". Do you personally have a bank account that is registered in your name? "</f>
        <v xml:space="preserve">FF1. Do you personally have a bank account that is registered in your name? </v>
      </c>
      <c r="C281" s="9" t="s">
        <v>92</v>
      </c>
      <c r="D281" s="54" t="s">
        <v>38</v>
      </c>
      <c r="E281" s="53">
        <v>1</v>
      </c>
      <c r="F281" s="53">
        <f>G277+1</f>
        <v>592</v>
      </c>
      <c r="G281" s="53">
        <f>G277+E281</f>
        <v>592</v>
      </c>
      <c r="H281" s="55" t="s">
        <v>17</v>
      </c>
      <c r="I281" s="53" t="s">
        <v>423</v>
      </c>
    </row>
    <row r="282" spans="1:9" ht="25.5" x14ac:dyDescent="0.2">
      <c r="A282" s="54" t="s">
        <v>424</v>
      </c>
      <c r="B282" s="9" t="s">
        <v>425</v>
      </c>
      <c r="C282" s="63" t="s">
        <v>2395</v>
      </c>
      <c r="D282" s="54" t="s">
        <v>38</v>
      </c>
      <c r="E282" s="53">
        <v>1</v>
      </c>
      <c r="F282" s="53">
        <f>G281+1</f>
        <v>593</v>
      </c>
      <c r="G282" s="53">
        <f>G281+E282</f>
        <v>593</v>
      </c>
      <c r="H282" s="14" t="s">
        <v>426</v>
      </c>
      <c r="I282" s="54" t="s">
        <v>424</v>
      </c>
    </row>
    <row r="283" spans="1:9" x14ac:dyDescent="0.2">
      <c r="A283" s="54" t="s">
        <v>427</v>
      </c>
      <c r="B283" s="9" t="s">
        <v>428</v>
      </c>
      <c r="C283" s="60" t="s">
        <v>429</v>
      </c>
      <c r="D283" s="54" t="s">
        <v>38</v>
      </c>
      <c r="E283" s="53">
        <v>2</v>
      </c>
      <c r="F283" s="53">
        <f>G282+1</f>
        <v>594</v>
      </c>
      <c r="G283" s="53">
        <f>G282+E283</f>
        <v>595</v>
      </c>
      <c r="H283" s="14" t="s">
        <v>426</v>
      </c>
      <c r="I283" s="54" t="s">
        <v>427</v>
      </c>
    </row>
    <row r="284" spans="1:9" x14ac:dyDescent="0.2">
      <c r="A284" s="54" t="s">
        <v>430</v>
      </c>
      <c r="B284" s="9" t="s">
        <v>431</v>
      </c>
      <c r="C284" s="60" t="s">
        <v>432</v>
      </c>
      <c r="D284" s="54" t="s">
        <v>38</v>
      </c>
      <c r="E284" s="53">
        <v>2</v>
      </c>
      <c r="F284" s="53">
        <f>G283+1</f>
        <v>596</v>
      </c>
      <c r="G284" s="53">
        <f>G283+E284</f>
        <v>597</v>
      </c>
      <c r="H284" s="14" t="s">
        <v>433</v>
      </c>
      <c r="I284" s="54" t="str">
        <f>A284</f>
        <v>FF3</v>
      </c>
    </row>
    <row r="285" spans="1:9" ht="25.5" x14ac:dyDescent="0.25">
      <c r="A285" s="53" t="s">
        <v>434</v>
      </c>
      <c r="B285" s="9" t="s">
        <v>435</v>
      </c>
      <c r="C285" s="9" t="s">
        <v>142</v>
      </c>
      <c r="D285" s="54" t="s">
        <v>38</v>
      </c>
      <c r="E285" s="53">
        <v>1</v>
      </c>
      <c r="F285" s="53">
        <f>G284+1</f>
        <v>598</v>
      </c>
      <c r="G285" s="53">
        <f>G284+E285</f>
        <v>598</v>
      </c>
      <c r="H285" s="14" t="s">
        <v>433</v>
      </c>
      <c r="I285" s="54" t="str">
        <f>A285</f>
        <v>FF4</v>
      </c>
    </row>
    <row r="286" spans="1:9" x14ac:dyDescent="0.25">
      <c r="A286" s="121" t="s">
        <v>436</v>
      </c>
      <c r="B286" s="122" t="s">
        <v>379</v>
      </c>
      <c r="C286" s="122" t="s">
        <v>379</v>
      </c>
      <c r="D286" s="122" t="s">
        <v>379</v>
      </c>
      <c r="E286" s="122" t="s">
        <v>379</v>
      </c>
      <c r="F286" s="122" t="s">
        <v>379</v>
      </c>
      <c r="G286" s="122" t="s">
        <v>379</v>
      </c>
      <c r="H286" s="122" t="s">
        <v>379</v>
      </c>
      <c r="I286" s="123" t="s">
        <v>379</v>
      </c>
    </row>
    <row r="287" spans="1:9" x14ac:dyDescent="0.25">
      <c r="A287" s="51" t="s">
        <v>4</v>
      </c>
      <c r="B287" s="52" t="s">
        <v>5</v>
      </c>
      <c r="C287" s="52" t="s">
        <v>6</v>
      </c>
      <c r="D287" s="51" t="s">
        <v>7</v>
      </c>
      <c r="E287" s="51" t="s">
        <v>8</v>
      </c>
      <c r="F287" s="51" t="s">
        <v>9</v>
      </c>
      <c r="G287" s="51" t="s">
        <v>10</v>
      </c>
      <c r="H287" s="52" t="s">
        <v>11</v>
      </c>
      <c r="I287" s="51" t="s">
        <v>12</v>
      </c>
    </row>
    <row r="288" spans="1:9" ht="51" x14ac:dyDescent="0.25">
      <c r="A288" s="53" t="s">
        <v>437</v>
      </c>
      <c r="B288" s="9" t="s">
        <v>438</v>
      </c>
      <c r="C288" s="9" t="s">
        <v>439</v>
      </c>
      <c r="D288" s="54" t="s">
        <v>38</v>
      </c>
      <c r="E288" s="53">
        <v>1</v>
      </c>
      <c r="F288" s="53">
        <f>G285+1</f>
        <v>599</v>
      </c>
      <c r="G288" s="53">
        <f>G285+E288</f>
        <v>599</v>
      </c>
      <c r="H288" s="55" t="s">
        <v>440</v>
      </c>
      <c r="I288" s="54" t="str">
        <f>A288</f>
        <v>FF5</v>
      </c>
    </row>
    <row r="289" spans="1:9" ht="38.25" x14ac:dyDescent="0.25">
      <c r="A289" s="54" t="s">
        <v>441</v>
      </c>
      <c r="B289" s="9" t="str">
        <f>A289&amp;". Please tell me which of them apply to your bank account or a bank account you use that belongs to someone else." &amp;Other!K2</f>
        <v>FF6.1. Please tell me which of them apply to your bank account or a bank account you use that belongs to someone else.You can access your account and make transactions using either a mobile phone application or the bank’s website</v>
      </c>
      <c r="C289" s="9" t="s">
        <v>442</v>
      </c>
      <c r="D289" s="54" t="s">
        <v>38</v>
      </c>
      <c r="E289" s="53">
        <v>2</v>
      </c>
      <c r="F289" s="53">
        <f>G288+1</f>
        <v>600</v>
      </c>
      <c r="G289" s="53">
        <f>G288+E289</f>
        <v>601</v>
      </c>
      <c r="H289" s="55" t="s">
        <v>440</v>
      </c>
      <c r="I289" s="54" t="s">
        <v>443</v>
      </c>
    </row>
    <row r="290" spans="1:9" ht="38.25" x14ac:dyDescent="0.25">
      <c r="A290" s="54" t="s">
        <v>444</v>
      </c>
      <c r="B290" s="9" t="str">
        <f>A290&amp;". Please tell me which of them apply to your bank account or a bank account you use that belongs to someone else." &amp;Other!K3</f>
        <v>FF6.2. Please tell me which of them apply to your bank account or a bank account you use that belongs to someone else.The bank offers a debit/ATM card with this account</v>
      </c>
      <c r="C290" s="9" t="s">
        <v>442</v>
      </c>
      <c r="D290" s="54" t="s">
        <v>38</v>
      </c>
      <c r="E290" s="53">
        <v>2</v>
      </c>
      <c r="F290" s="53">
        <f>G289+1</f>
        <v>602</v>
      </c>
      <c r="G290" s="53">
        <f>G289+E290</f>
        <v>603</v>
      </c>
      <c r="H290" s="55" t="s">
        <v>440</v>
      </c>
      <c r="I290" s="54" t="s">
        <v>445</v>
      </c>
    </row>
    <row r="291" spans="1:9" ht="38.25" x14ac:dyDescent="0.25">
      <c r="A291" s="54" t="s">
        <v>446</v>
      </c>
      <c r="B291" s="9" t="str">
        <f>A291&amp;". Please tell me which of them apply to your bank account or a bank account you use that belongs to someone else." &amp;Other!K4</f>
        <v>FF6.3. Please tell me which of them apply to your bank account or a bank account you use that belongs to someone else.The bank offers a credit card with this account</v>
      </c>
      <c r="C291" s="9" t="s">
        <v>442</v>
      </c>
      <c r="D291" s="54" t="s">
        <v>38</v>
      </c>
      <c r="E291" s="53">
        <v>2</v>
      </c>
      <c r="F291" s="53">
        <f>G290+1</f>
        <v>604</v>
      </c>
      <c r="G291" s="53">
        <f>G290+E291</f>
        <v>605</v>
      </c>
      <c r="H291" s="55" t="s">
        <v>440</v>
      </c>
      <c r="I291" s="54" t="s">
        <v>447</v>
      </c>
    </row>
    <row r="292" spans="1:9" s="77" customFormat="1" ht="63.75" x14ac:dyDescent="0.2">
      <c r="A292" s="54" t="s">
        <v>448</v>
      </c>
      <c r="B292" s="9" t="str">
        <f>A292&amp;". Please tell me which of them apply to your bank account or a bank account you use that belongs to someone else." &amp;Other!K5</f>
        <v>FF6.4. Please tell me which of them apply to your bank account or a bank account you use that belongs to someone else.You can transfer money to/from this account without using cash (e.g. receive salary or government benefits, direct deposit, automatic payments or withdrawals, transfers to/from other banks/mobile money account/MFI or cooperative account)</v>
      </c>
      <c r="C292" s="9" t="s">
        <v>442</v>
      </c>
      <c r="D292" s="54" t="s">
        <v>38</v>
      </c>
      <c r="E292" s="53">
        <v>2</v>
      </c>
      <c r="F292" s="53">
        <f>G291+1</f>
        <v>606</v>
      </c>
      <c r="G292" s="53">
        <f>G291+E292</f>
        <v>607</v>
      </c>
      <c r="H292" s="55" t="s">
        <v>440</v>
      </c>
      <c r="I292" s="54" t="s">
        <v>449</v>
      </c>
    </row>
    <row r="293" spans="1:9" s="3" customFormat="1" x14ac:dyDescent="0.25">
      <c r="A293" s="121" t="s">
        <v>450</v>
      </c>
      <c r="B293" s="122" t="s">
        <v>451</v>
      </c>
      <c r="C293" s="122" t="s">
        <v>451</v>
      </c>
      <c r="D293" s="122" t="s">
        <v>451</v>
      </c>
      <c r="E293" s="122" t="s">
        <v>451</v>
      </c>
      <c r="F293" s="122" t="s">
        <v>451</v>
      </c>
      <c r="G293" s="122" t="s">
        <v>451</v>
      </c>
      <c r="H293" s="122" t="s">
        <v>451</v>
      </c>
      <c r="I293" s="123" t="s">
        <v>451</v>
      </c>
    </row>
    <row r="294" spans="1:9" s="3" customFormat="1" x14ac:dyDescent="0.25">
      <c r="A294" s="51" t="s">
        <v>4</v>
      </c>
      <c r="B294" s="52" t="s">
        <v>5</v>
      </c>
      <c r="C294" s="52" t="s">
        <v>6</v>
      </c>
      <c r="D294" s="51" t="s">
        <v>7</v>
      </c>
      <c r="E294" s="51" t="s">
        <v>8</v>
      </c>
      <c r="F294" s="51" t="s">
        <v>9</v>
      </c>
      <c r="G294" s="51" t="s">
        <v>10</v>
      </c>
      <c r="H294" s="52" t="s">
        <v>11</v>
      </c>
      <c r="I294" s="51" t="s">
        <v>12</v>
      </c>
    </row>
    <row r="295" spans="1:9" s="3" customFormat="1" ht="25.5" x14ac:dyDescent="0.25">
      <c r="A295" s="53" t="s">
        <v>452</v>
      </c>
      <c r="B295" s="57" t="str">
        <f>A295&amp;".How many of the following type of bank account do you have? "&amp; Other!L2</f>
        <v>FF7.1.How many of the following type of bank account do you have? Current/for everyday needs WITH a cheque book</v>
      </c>
      <c r="C295" s="57" t="s">
        <v>83</v>
      </c>
      <c r="D295" s="53" t="s">
        <v>16</v>
      </c>
      <c r="E295" s="53">
        <v>2</v>
      </c>
      <c r="F295" s="53">
        <f>G292+1</f>
        <v>608</v>
      </c>
      <c r="G295" s="53">
        <f>G292+E295</f>
        <v>609</v>
      </c>
      <c r="H295" s="55" t="s">
        <v>426</v>
      </c>
      <c r="I295" s="53" t="str">
        <f t="shared" ref="I295:I358" si="74">SUBSTITUTE(A295,".","_")</f>
        <v>FF7_1</v>
      </c>
    </row>
    <row r="296" spans="1:9" s="3" customFormat="1" ht="25.5" x14ac:dyDescent="0.25">
      <c r="A296" s="53" t="s">
        <v>453</v>
      </c>
      <c r="B296" s="57" t="str">
        <f>A296&amp;".How many of the following type of bank account do you have? "&amp; Other!L3</f>
        <v>FF7.2.How many of the following type of bank account do you have? Current/for everyday needs WITHOUT a cheque book</v>
      </c>
      <c r="C296" s="57" t="s">
        <v>83</v>
      </c>
      <c r="D296" s="53" t="s">
        <v>16</v>
      </c>
      <c r="E296" s="53">
        <v>2</v>
      </c>
      <c r="F296" s="53">
        <f>G295+1</f>
        <v>610</v>
      </c>
      <c r="G296" s="53">
        <f>G295+E296</f>
        <v>611</v>
      </c>
      <c r="H296" s="55" t="s">
        <v>426</v>
      </c>
      <c r="I296" s="53" t="str">
        <f t="shared" si="74"/>
        <v>FF7_2</v>
      </c>
    </row>
    <row r="297" spans="1:9" s="3" customFormat="1" ht="25.5" x14ac:dyDescent="0.25">
      <c r="A297" s="53" t="s">
        <v>454</v>
      </c>
      <c r="B297" s="57" t="str">
        <f>A297&amp;".How many of the following type of bank account do you have? "&amp; Other!L4</f>
        <v>FF7.3.How many of the following type of bank account do you have? Current account with overdraft facility</v>
      </c>
      <c r="C297" s="57" t="s">
        <v>83</v>
      </c>
      <c r="D297" s="53" t="s">
        <v>16</v>
      </c>
      <c r="E297" s="53">
        <v>2</v>
      </c>
      <c r="F297" s="53">
        <f t="shared" ref="F297:F348" si="75">G296+1</f>
        <v>612</v>
      </c>
      <c r="G297" s="53">
        <f t="shared" ref="G297:G319" si="76">G296+E297</f>
        <v>613</v>
      </c>
      <c r="H297" s="55" t="s">
        <v>426</v>
      </c>
      <c r="I297" s="53" t="str">
        <f t="shared" si="74"/>
        <v>FF7_3</v>
      </c>
    </row>
    <row r="298" spans="1:9" s="3" customFormat="1" ht="25.5" x14ac:dyDescent="0.25">
      <c r="A298" s="53" t="s">
        <v>455</v>
      </c>
      <c r="B298" s="57" t="str">
        <f>A298&amp;".How many of the following type of bank account do you have? "&amp; Other!L5</f>
        <v>FF7.4.How many of the following type of bank account do you have? Savings</v>
      </c>
      <c r="C298" s="57" t="s">
        <v>83</v>
      </c>
      <c r="D298" s="53" t="s">
        <v>16</v>
      </c>
      <c r="E298" s="53">
        <v>2</v>
      </c>
      <c r="F298" s="53">
        <f t="shared" si="75"/>
        <v>614</v>
      </c>
      <c r="G298" s="53">
        <f t="shared" si="76"/>
        <v>615</v>
      </c>
      <c r="H298" s="55" t="s">
        <v>426</v>
      </c>
      <c r="I298" s="53" t="str">
        <f t="shared" si="74"/>
        <v>FF7_4</v>
      </c>
    </row>
    <row r="299" spans="1:9" s="3" customFormat="1" ht="25.5" x14ac:dyDescent="0.25">
      <c r="A299" s="53" t="s">
        <v>456</v>
      </c>
      <c r="B299" s="57" t="str">
        <f>A299&amp;".How many of the following type of bank account do you have? "&amp; Other!L6</f>
        <v>FF7.5.How many of the following type of bank account do you have? Student</v>
      </c>
      <c r="C299" s="57" t="s">
        <v>83</v>
      </c>
      <c r="D299" s="53" t="s">
        <v>16</v>
      </c>
      <c r="E299" s="53">
        <v>2</v>
      </c>
      <c r="F299" s="53">
        <f t="shared" si="75"/>
        <v>616</v>
      </c>
      <c r="G299" s="53">
        <f t="shared" si="76"/>
        <v>617</v>
      </c>
      <c r="H299" s="55" t="s">
        <v>426</v>
      </c>
      <c r="I299" s="53" t="str">
        <f t="shared" si="74"/>
        <v>FF7_5</v>
      </c>
    </row>
    <row r="300" spans="1:9" s="86" customFormat="1" ht="25.5" x14ac:dyDescent="0.25">
      <c r="A300" s="82" t="s">
        <v>457</v>
      </c>
      <c r="B300" s="57" t="str">
        <f>A300&amp;".How many of the following type of bank account do you have? "&amp; Other!L7</f>
        <v xml:space="preserve">FF7.6.How many of the following type of bank account do you have? Fixed </v>
      </c>
      <c r="C300" s="57" t="s">
        <v>83</v>
      </c>
      <c r="D300" s="53" t="s">
        <v>16</v>
      </c>
      <c r="E300" s="53">
        <v>2</v>
      </c>
      <c r="F300" s="53">
        <f t="shared" si="75"/>
        <v>618</v>
      </c>
      <c r="G300" s="53">
        <f t="shared" si="76"/>
        <v>619</v>
      </c>
      <c r="H300" s="55" t="s">
        <v>426</v>
      </c>
      <c r="I300" s="53" t="str">
        <f t="shared" si="74"/>
        <v>FF7_6</v>
      </c>
    </row>
    <row r="301" spans="1:9" s="3" customFormat="1" ht="25.5" x14ac:dyDescent="0.25">
      <c r="A301" s="82" t="s">
        <v>458</v>
      </c>
      <c r="B301" s="57" t="str">
        <f>A301&amp;".How many of the following type of bank account do you have? "&amp; Other!L8</f>
        <v>FF7.7.How many of the following type of bank account do you have? Investment</v>
      </c>
      <c r="C301" s="57" t="s">
        <v>83</v>
      </c>
      <c r="D301" s="53" t="s">
        <v>16</v>
      </c>
      <c r="E301" s="53">
        <v>2</v>
      </c>
      <c r="F301" s="53">
        <f t="shared" si="75"/>
        <v>620</v>
      </c>
      <c r="G301" s="53">
        <f t="shared" si="76"/>
        <v>621</v>
      </c>
      <c r="H301" s="55" t="s">
        <v>426</v>
      </c>
      <c r="I301" s="53" t="str">
        <f t="shared" si="74"/>
        <v>FF7_7</v>
      </c>
    </row>
    <row r="302" spans="1:9" s="3" customFormat="1" ht="25.5" x14ac:dyDescent="0.25">
      <c r="A302" s="83" t="s">
        <v>459</v>
      </c>
      <c r="B302" s="84" t="str">
        <f>A302&amp;".How many of the following type of bank account do you have? "&amp; Other!L9</f>
        <v>FF7.96.How many of the following type of bank account do you have? Other (Specify)</v>
      </c>
      <c r="C302" s="84" t="s">
        <v>83</v>
      </c>
      <c r="D302" s="83" t="s">
        <v>16</v>
      </c>
      <c r="E302" s="83">
        <v>2</v>
      </c>
      <c r="F302" s="83">
        <f>G301+1</f>
        <v>622</v>
      </c>
      <c r="G302" s="83">
        <f>G301+E302</f>
        <v>623</v>
      </c>
      <c r="H302" s="85" t="s">
        <v>426</v>
      </c>
      <c r="I302" s="53" t="str">
        <f t="shared" si="74"/>
        <v>FF7_96</v>
      </c>
    </row>
    <row r="303" spans="1:9" s="3" customFormat="1" ht="25.5" x14ac:dyDescent="0.25">
      <c r="A303" s="82" t="s">
        <v>460</v>
      </c>
      <c r="B303" s="57" t="str">
        <f>A303&amp;".How many of the following types of bank accounts belonging to other people can you use? "&amp;Other!L2</f>
        <v>FF8.1.How many of the following types of bank accounts belonging to other people can you use? Current/for everyday needs WITH a cheque book</v>
      </c>
      <c r="C303" s="57" t="s">
        <v>83</v>
      </c>
      <c r="D303" s="53" t="s">
        <v>16</v>
      </c>
      <c r="E303" s="53">
        <v>2</v>
      </c>
      <c r="F303" s="53">
        <f t="shared" si="75"/>
        <v>624</v>
      </c>
      <c r="G303" s="53">
        <f t="shared" si="76"/>
        <v>625</v>
      </c>
      <c r="H303" s="14" t="s">
        <v>461</v>
      </c>
      <c r="I303" s="53" t="str">
        <f t="shared" si="74"/>
        <v>FF8_1</v>
      </c>
    </row>
    <row r="304" spans="1:9" s="3" customFormat="1" ht="25.5" x14ac:dyDescent="0.25">
      <c r="A304" s="53" t="s">
        <v>462</v>
      </c>
      <c r="B304" s="57" t="str">
        <f>A304&amp;".How many of the following types of bank accounts belonging to other people can you use? "&amp;Other!L3</f>
        <v>FF8.2.How many of the following types of bank accounts belonging to other people can you use? Current/for everyday needs WITHOUT a cheque book</v>
      </c>
      <c r="C304" s="57" t="s">
        <v>83</v>
      </c>
      <c r="D304" s="53" t="s">
        <v>16</v>
      </c>
      <c r="E304" s="53">
        <v>2</v>
      </c>
      <c r="F304" s="53">
        <f t="shared" si="75"/>
        <v>626</v>
      </c>
      <c r="G304" s="53">
        <f t="shared" si="76"/>
        <v>627</v>
      </c>
      <c r="H304" s="14" t="s">
        <v>461</v>
      </c>
      <c r="I304" s="53" t="str">
        <f t="shared" si="74"/>
        <v>FF8_2</v>
      </c>
    </row>
    <row r="305" spans="1:9" s="3" customFormat="1" ht="25.5" x14ac:dyDescent="0.25">
      <c r="A305" s="53" t="s">
        <v>463</v>
      </c>
      <c r="B305" s="57" t="str">
        <f>A305&amp;".How many of the following types of bank accounts belonging to other people can you use? "&amp;Other!L4</f>
        <v>FF8.3.How many of the following types of bank accounts belonging to other people can you use? Current account with overdraft facility</v>
      </c>
      <c r="C305" s="57" t="s">
        <v>83</v>
      </c>
      <c r="D305" s="53" t="s">
        <v>16</v>
      </c>
      <c r="E305" s="53">
        <v>2</v>
      </c>
      <c r="F305" s="53">
        <f t="shared" si="75"/>
        <v>628</v>
      </c>
      <c r="G305" s="53">
        <f t="shared" si="76"/>
        <v>629</v>
      </c>
      <c r="H305" s="14" t="s">
        <v>461</v>
      </c>
      <c r="I305" s="53" t="str">
        <f t="shared" si="74"/>
        <v>FF8_3</v>
      </c>
    </row>
    <row r="306" spans="1:9" s="3" customFormat="1" ht="25.5" x14ac:dyDescent="0.25">
      <c r="A306" s="53" t="s">
        <v>464</v>
      </c>
      <c r="B306" s="57" t="str">
        <f>A306&amp;".How many of the following types of bank accounts belonging to other people can you use? "&amp;Other!L5</f>
        <v>FF8.4.How many of the following types of bank accounts belonging to other people can you use? Savings</v>
      </c>
      <c r="C306" s="57" t="s">
        <v>83</v>
      </c>
      <c r="D306" s="53" t="s">
        <v>16</v>
      </c>
      <c r="E306" s="53">
        <v>2</v>
      </c>
      <c r="F306" s="53">
        <f t="shared" si="75"/>
        <v>630</v>
      </c>
      <c r="G306" s="53">
        <f t="shared" si="76"/>
        <v>631</v>
      </c>
      <c r="H306" s="14" t="s">
        <v>461</v>
      </c>
      <c r="I306" s="53" t="str">
        <f t="shared" si="74"/>
        <v>FF8_4</v>
      </c>
    </row>
    <row r="307" spans="1:9" s="3" customFormat="1" ht="25.5" x14ac:dyDescent="0.25">
      <c r="A307" s="53" t="s">
        <v>465</v>
      </c>
      <c r="B307" s="57" t="str">
        <f>A307&amp;".How many of the following types of bank accounts belonging to other people can you use? "&amp;Other!L6</f>
        <v>FF8.5.How many of the following types of bank accounts belonging to other people can you use? Student</v>
      </c>
      <c r="C307" s="57" t="s">
        <v>83</v>
      </c>
      <c r="D307" s="53" t="s">
        <v>16</v>
      </c>
      <c r="E307" s="53">
        <v>2</v>
      </c>
      <c r="F307" s="53">
        <f t="shared" si="75"/>
        <v>632</v>
      </c>
      <c r="G307" s="53">
        <f t="shared" si="76"/>
        <v>633</v>
      </c>
      <c r="H307" s="14" t="s">
        <v>461</v>
      </c>
      <c r="I307" s="53" t="str">
        <f t="shared" si="74"/>
        <v>FF8_5</v>
      </c>
    </row>
    <row r="308" spans="1:9" s="3" customFormat="1" ht="25.5" x14ac:dyDescent="0.25">
      <c r="A308" s="53" t="s">
        <v>466</v>
      </c>
      <c r="B308" s="57" t="str">
        <f>A308&amp;".How many of the following types of bank accounts belonging to other people can you use? "&amp;Other!L7</f>
        <v xml:space="preserve">FF8.6.How many of the following types of bank accounts belonging to other people can you use? Fixed </v>
      </c>
      <c r="C308" s="57" t="s">
        <v>83</v>
      </c>
      <c r="D308" s="53" t="s">
        <v>16</v>
      </c>
      <c r="E308" s="53">
        <v>2</v>
      </c>
      <c r="F308" s="53">
        <f t="shared" si="75"/>
        <v>634</v>
      </c>
      <c r="G308" s="53">
        <f t="shared" si="76"/>
        <v>635</v>
      </c>
      <c r="H308" s="14" t="s">
        <v>461</v>
      </c>
      <c r="I308" s="53" t="str">
        <f t="shared" si="74"/>
        <v>FF8_6</v>
      </c>
    </row>
    <row r="309" spans="1:9" s="3" customFormat="1" ht="25.5" x14ac:dyDescent="0.25">
      <c r="A309" s="53" t="s">
        <v>467</v>
      </c>
      <c r="B309" s="57" t="str">
        <f>A309&amp;".How many of the following types of bank accounts belonging to other people can you use? "&amp;Other!L8</f>
        <v>FF8.7.How many of the following types of bank accounts belonging to other people can you use? Investment</v>
      </c>
      <c r="C309" s="57" t="s">
        <v>83</v>
      </c>
      <c r="D309" s="53" t="s">
        <v>16</v>
      </c>
      <c r="E309" s="53">
        <v>2</v>
      </c>
      <c r="F309" s="53">
        <f t="shared" si="75"/>
        <v>636</v>
      </c>
      <c r="G309" s="53">
        <f t="shared" si="76"/>
        <v>637</v>
      </c>
      <c r="H309" s="14" t="s">
        <v>461</v>
      </c>
      <c r="I309" s="53" t="str">
        <f t="shared" si="74"/>
        <v>FF8_7</v>
      </c>
    </row>
    <row r="310" spans="1:9" s="3" customFormat="1" ht="25.5" x14ac:dyDescent="0.25">
      <c r="A310" s="53" t="s">
        <v>468</v>
      </c>
      <c r="B310" s="57" t="str">
        <f>A310&amp;".How many of the following types of bank accounts belonging to other people can you use? "&amp;Other!L9</f>
        <v>FF8.96.How many of the following types of bank accounts belonging to other people can you use? Other (Specify)</v>
      </c>
      <c r="C310" s="57" t="s">
        <v>83</v>
      </c>
      <c r="D310" s="53" t="s">
        <v>16</v>
      </c>
      <c r="E310" s="53">
        <v>2</v>
      </c>
      <c r="F310" s="53">
        <f t="shared" si="75"/>
        <v>638</v>
      </c>
      <c r="G310" s="53">
        <f t="shared" si="76"/>
        <v>639</v>
      </c>
      <c r="H310" s="14" t="s">
        <v>461</v>
      </c>
      <c r="I310" s="53" t="str">
        <f t="shared" si="74"/>
        <v>FF8_96</v>
      </c>
    </row>
    <row r="311" spans="1:9" s="3" customFormat="1" ht="76.5" x14ac:dyDescent="0.25">
      <c r="A311" s="53" t="s">
        <v>469</v>
      </c>
      <c r="B311" s="57" t="str">
        <f>A311&amp;".Apart from today, when was the last time you made a deposit or withdrawal using a bank account, or used a bank account for any other financial activity?"</f>
        <v>FF9.Apart from today, when was the last time you made a deposit or withdrawal using a bank account, or used a bank account for any other financial activity?</v>
      </c>
      <c r="C311" s="57" t="s">
        <v>381</v>
      </c>
      <c r="D311" s="53" t="s">
        <v>38</v>
      </c>
      <c r="E311" s="53">
        <v>1</v>
      </c>
      <c r="F311" s="53">
        <f t="shared" si="75"/>
        <v>640</v>
      </c>
      <c r="G311" s="53">
        <f t="shared" si="76"/>
        <v>640</v>
      </c>
      <c r="H311" s="14" t="s">
        <v>440</v>
      </c>
      <c r="I311" s="53" t="str">
        <f t="shared" si="74"/>
        <v>FF9</v>
      </c>
    </row>
    <row r="312" spans="1:9" s="3" customFormat="1" ht="25.5" x14ac:dyDescent="0.25">
      <c r="A312" s="53" t="s">
        <v>470</v>
      </c>
      <c r="B312" s="57" t="str">
        <f>A312&amp;".When you use a bank account for any financial activity, do you use any of the following? "&amp;Other!M2</f>
        <v xml:space="preserve">FF10.1.When you use a bank account for any financial activity, do you use any of the following? Over the counter in a branch of the bank </v>
      </c>
      <c r="C312" s="57" t="s">
        <v>142</v>
      </c>
      <c r="D312" s="53" t="s">
        <v>38</v>
      </c>
      <c r="E312" s="53">
        <v>1</v>
      </c>
      <c r="F312" s="53">
        <f t="shared" si="75"/>
        <v>641</v>
      </c>
      <c r="G312" s="53">
        <f t="shared" si="76"/>
        <v>641</v>
      </c>
      <c r="H312" s="14" t="s">
        <v>471</v>
      </c>
      <c r="I312" s="53" t="str">
        <f t="shared" si="74"/>
        <v>FF10_1</v>
      </c>
    </row>
    <row r="313" spans="1:9" s="3" customFormat="1" ht="25.5" x14ac:dyDescent="0.25">
      <c r="A313" s="53" t="s">
        <v>472</v>
      </c>
      <c r="B313" s="57" t="str">
        <f>A313&amp;".When you use a bank account for any financial activity, do you use any of the following? "&amp;Other!M3</f>
        <v>FF10.2.When you use a bank account for any financial activity, do you use any of the following? ATM</v>
      </c>
      <c r="C313" s="57" t="s">
        <v>142</v>
      </c>
      <c r="D313" s="53" t="s">
        <v>38</v>
      </c>
      <c r="E313" s="53">
        <v>1</v>
      </c>
      <c r="F313" s="53">
        <f t="shared" si="75"/>
        <v>642</v>
      </c>
      <c r="G313" s="53">
        <f t="shared" si="76"/>
        <v>642</v>
      </c>
      <c r="H313" s="14" t="s">
        <v>471</v>
      </c>
      <c r="I313" s="53" t="str">
        <f t="shared" si="74"/>
        <v>FF10_2</v>
      </c>
    </row>
    <row r="314" spans="1:9" s="3" customFormat="1" ht="25.5" x14ac:dyDescent="0.25">
      <c r="A314" s="53" t="s">
        <v>473</v>
      </c>
      <c r="B314" s="57" t="str">
        <f>A314&amp;".When you use a bank account for any financial activity, do you use any of the following? "&amp;Other!M4</f>
        <v>FF10.3.When you use a bank account for any financial activity, do you use any of the following? Bank deposit or withdrawals over the counter at a retail store</v>
      </c>
      <c r="C314" s="57" t="s">
        <v>142</v>
      </c>
      <c r="D314" s="53" t="s">
        <v>38</v>
      </c>
      <c r="E314" s="53">
        <v>1</v>
      </c>
      <c r="F314" s="53">
        <f t="shared" si="75"/>
        <v>643</v>
      </c>
      <c r="G314" s="53">
        <f t="shared" si="76"/>
        <v>643</v>
      </c>
      <c r="H314" s="14" t="s">
        <v>471</v>
      </c>
      <c r="I314" s="53" t="str">
        <f t="shared" si="74"/>
        <v>FF10_3</v>
      </c>
    </row>
    <row r="315" spans="1:9" s="3" customFormat="1" ht="25.5" x14ac:dyDescent="0.25">
      <c r="A315" s="53" t="s">
        <v>474</v>
      </c>
      <c r="B315" s="57" t="str">
        <f>A315&amp;".When you use a bank account for any financial activity, do you use any of the following? "&amp;Other!M5</f>
        <v>FF10.4.When you use a bank account for any financial activity, do you use any of the following? Bank’s website/online banking</v>
      </c>
      <c r="C315" s="57" t="s">
        <v>142</v>
      </c>
      <c r="D315" s="53" t="s">
        <v>38</v>
      </c>
      <c r="E315" s="53">
        <v>1</v>
      </c>
      <c r="F315" s="53">
        <f t="shared" si="75"/>
        <v>644</v>
      </c>
      <c r="G315" s="53">
        <f t="shared" si="76"/>
        <v>644</v>
      </c>
      <c r="H315" s="14" t="s">
        <v>471</v>
      </c>
      <c r="I315" s="53" t="str">
        <f t="shared" si="74"/>
        <v>FF10_4</v>
      </c>
    </row>
    <row r="316" spans="1:9" s="3" customFormat="1" ht="25.5" x14ac:dyDescent="0.25">
      <c r="A316" s="53" t="s">
        <v>475</v>
      </c>
      <c r="B316" s="57" t="str">
        <f>A316&amp;".When you use a bank account for any financial activity, do you use any of the following? "&amp;Other!M6</f>
        <v>FF10.5.When you use a bank account for any financial activity, do you use any of the following? Mobile app/mobile banking</v>
      </c>
      <c r="C316" s="57" t="s">
        <v>142</v>
      </c>
      <c r="D316" s="53" t="s">
        <v>38</v>
      </c>
      <c r="E316" s="53">
        <v>1</v>
      </c>
      <c r="F316" s="53">
        <f t="shared" si="75"/>
        <v>645</v>
      </c>
      <c r="G316" s="53">
        <f t="shared" si="76"/>
        <v>645</v>
      </c>
      <c r="H316" s="14" t="s">
        <v>471</v>
      </c>
      <c r="I316" s="53" t="str">
        <f t="shared" si="74"/>
        <v>FF10_5</v>
      </c>
    </row>
    <row r="317" spans="1:9" s="3" customFormat="1" ht="38.25" x14ac:dyDescent="0.25">
      <c r="A317" s="53" t="s">
        <v>476</v>
      </c>
      <c r="B317" s="57" t="str">
        <f>A317&amp;".When you use a bank account for any financial activity, do you use any of the following? "&amp;Other!M7</f>
        <v>FF10.6.When you use a bank account for any financial activity, do you use any of the following? A door-to-door banking agent or another person who is associated with this bank or MFI/mobile collector/banking agent</v>
      </c>
      <c r="C317" s="57" t="s">
        <v>142</v>
      </c>
      <c r="D317" s="53" t="s">
        <v>38</v>
      </c>
      <c r="E317" s="53">
        <v>1</v>
      </c>
      <c r="F317" s="53">
        <f t="shared" si="75"/>
        <v>646</v>
      </c>
      <c r="G317" s="53">
        <f t="shared" si="76"/>
        <v>646</v>
      </c>
      <c r="H317" s="14" t="s">
        <v>471</v>
      </c>
      <c r="I317" s="53" t="str">
        <f t="shared" si="74"/>
        <v>FF10_6</v>
      </c>
    </row>
    <row r="318" spans="1:9" s="3" customFormat="1" ht="25.5" x14ac:dyDescent="0.25">
      <c r="A318" s="53" t="s">
        <v>477</v>
      </c>
      <c r="B318" s="57" t="str">
        <f>A318&amp;".When you use a bank account for any financial activity, do you use any of the following? "&amp;Other!M8</f>
        <v>FF10.96.When you use a bank account for any financial activity, do you use any of the following? Other (Specify)</v>
      </c>
      <c r="C318" s="57" t="s">
        <v>142</v>
      </c>
      <c r="D318" s="53" t="s">
        <v>38</v>
      </c>
      <c r="E318" s="53">
        <v>1</v>
      </c>
      <c r="F318" s="53">
        <f t="shared" si="75"/>
        <v>647</v>
      </c>
      <c r="G318" s="53">
        <f t="shared" si="76"/>
        <v>647</v>
      </c>
      <c r="H318" s="14" t="s">
        <v>471</v>
      </c>
      <c r="I318" s="53" t="str">
        <f t="shared" si="74"/>
        <v>FF10_96</v>
      </c>
    </row>
    <row r="319" spans="1:9" s="3" customFormat="1" ht="127.5" x14ac:dyDescent="0.25">
      <c r="A319" s="53" t="s">
        <v>478</v>
      </c>
      <c r="B319" s="57" t="str">
        <f>A319&amp;".Of the different ways you use a bank for financial activities, which is your preferred way?  "</f>
        <v xml:space="preserve">FF13.Of the different ways you use a bank for financial activities, which is your preferred way?  </v>
      </c>
      <c r="C319" s="57" t="s">
        <v>2398</v>
      </c>
      <c r="D319" s="53" t="s">
        <v>38</v>
      </c>
      <c r="E319" s="53">
        <v>2</v>
      </c>
      <c r="F319" s="53">
        <f t="shared" si="75"/>
        <v>648</v>
      </c>
      <c r="G319" s="53">
        <f t="shared" si="76"/>
        <v>649</v>
      </c>
      <c r="H319" s="14" t="s">
        <v>479</v>
      </c>
      <c r="I319" s="53" t="str">
        <f t="shared" si="74"/>
        <v>FF13</v>
      </c>
    </row>
    <row r="320" spans="1:9" s="3" customFormat="1" ht="25.5" x14ac:dyDescent="0.25">
      <c r="A320" s="53" t="s">
        <v>480</v>
      </c>
      <c r="B320" s="57" t="str">
        <f>A320&amp;".Which of the following have you ever done using a bank account? "&amp;'FF14&amp;16'!B2</f>
        <v>FF14.1.Which of the following have you ever done using a bank account? Deposited money</v>
      </c>
      <c r="C320" s="57" t="s">
        <v>142</v>
      </c>
      <c r="D320" s="53" t="s">
        <v>38</v>
      </c>
      <c r="E320" s="53">
        <v>1</v>
      </c>
      <c r="F320" s="53">
        <f t="shared" si="75"/>
        <v>650</v>
      </c>
      <c r="G320" s="53">
        <f t="shared" ref="G320:G331" si="77">G319+E320</f>
        <v>650</v>
      </c>
      <c r="H320" s="14" t="s">
        <v>471</v>
      </c>
      <c r="I320" s="53" t="str">
        <f t="shared" si="74"/>
        <v>FF14_1</v>
      </c>
    </row>
    <row r="321" spans="1:9" s="3" customFormat="1" ht="25.5" x14ac:dyDescent="0.25">
      <c r="A321" s="53" t="s">
        <v>481</v>
      </c>
      <c r="B321" s="57" t="str">
        <f>A321&amp;".Which of the following have you ever done using a bank account? "&amp;'FF14&amp;16'!B3</f>
        <v>FF14.2.Which of the following have you ever done using a bank account? Withdrew money</v>
      </c>
      <c r="C321" s="57" t="s">
        <v>142</v>
      </c>
      <c r="D321" s="53" t="s">
        <v>38</v>
      </c>
      <c r="E321" s="53">
        <v>1</v>
      </c>
      <c r="F321" s="53">
        <f t="shared" si="75"/>
        <v>651</v>
      </c>
      <c r="G321" s="53">
        <f t="shared" si="77"/>
        <v>651</v>
      </c>
      <c r="H321" s="14" t="s">
        <v>471</v>
      </c>
      <c r="I321" s="53" t="str">
        <f t="shared" si="74"/>
        <v>FF14_2</v>
      </c>
    </row>
    <row r="322" spans="1:9" s="3" customFormat="1" ht="25.5" x14ac:dyDescent="0.25">
      <c r="A322" s="53" t="s">
        <v>482</v>
      </c>
      <c r="B322" s="57" t="str">
        <f>A322&amp;".Which of the following have you ever done using a bank account? "&amp;'FF14&amp;16'!B4</f>
        <v>FF14.3.Which of the following have you ever done using a bank account? Buy airtime top-ups, pay mobile phone bill</v>
      </c>
      <c r="C322" s="57" t="s">
        <v>142</v>
      </c>
      <c r="D322" s="53" t="s">
        <v>38</v>
      </c>
      <c r="E322" s="53">
        <v>1</v>
      </c>
      <c r="F322" s="53">
        <f t="shared" si="75"/>
        <v>652</v>
      </c>
      <c r="G322" s="53">
        <f t="shared" si="77"/>
        <v>652</v>
      </c>
      <c r="H322" s="14" t="s">
        <v>471</v>
      </c>
      <c r="I322" s="53" t="str">
        <f t="shared" si="74"/>
        <v>FF14_3</v>
      </c>
    </row>
    <row r="323" spans="1:9" s="3" customFormat="1" ht="25.5" x14ac:dyDescent="0.25">
      <c r="A323" s="53" t="s">
        <v>483</v>
      </c>
      <c r="B323" s="57" t="str">
        <f>A323&amp;".Which of the following have you ever done using a bank account? "&amp;'FF14&amp;16'!B5</f>
        <v>FF14.4.Which of the following have you ever done using a bank account? Pay a school fee</v>
      </c>
      <c r="C323" s="57" t="s">
        <v>142</v>
      </c>
      <c r="D323" s="53" t="s">
        <v>38</v>
      </c>
      <c r="E323" s="53">
        <v>1</v>
      </c>
      <c r="F323" s="53">
        <f t="shared" si="75"/>
        <v>653</v>
      </c>
      <c r="G323" s="53">
        <f t="shared" si="77"/>
        <v>653</v>
      </c>
      <c r="H323" s="14" t="s">
        <v>471</v>
      </c>
      <c r="I323" s="53" t="str">
        <f t="shared" si="74"/>
        <v>FF14_4</v>
      </c>
    </row>
    <row r="324" spans="1:9" s="3" customFormat="1" ht="25.5" x14ac:dyDescent="0.25">
      <c r="A324" s="53" t="s">
        <v>484</v>
      </c>
      <c r="B324" s="57" t="str">
        <f>A324&amp;".Which of the following have you ever done using a bank account? "&amp;'FF14&amp;16'!B6</f>
        <v>FF14.5.Which of the following have you ever done using a bank account? Pay a medical bill</v>
      </c>
      <c r="C324" s="57" t="s">
        <v>142</v>
      </c>
      <c r="D324" s="53" t="s">
        <v>38</v>
      </c>
      <c r="E324" s="53">
        <v>1</v>
      </c>
      <c r="F324" s="53">
        <f t="shared" si="75"/>
        <v>654</v>
      </c>
      <c r="G324" s="53">
        <f t="shared" si="77"/>
        <v>654</v>
      </c>
      <c r="H324" s="14" t="s">
        <v>471</v>
      </c>
      <c r="I324" s="53" t="str">
        <f t="shared" si="74"/>
        <v>FF14_5</v>
      </c>
    </row>
    <row r="325" spans="1:9" s="3" customFormat="1" ht="25.5" x14ac:dyDescent="0.25">
      <c r="A325" s="53" t="s">
        <v>485</v>
      </c>
      <c r="B325" s="57" t="str">
        <f>A325&amp;".Which of the following have you ever done using a bank account? "&amp;'FF14&amp;16'!B7</f>
        <v>FF14.6.Which of the following have you ever done using a bank account? Pay an utility bill (i.e electricity, water, solar, TV/cable)</v>
      </c>
      <c r="C325" s="57" t="s">
        <v>142</v>
      </c>
      <c r="D325" s="53" t="s">
        <v>38</v>
      </c>
      <c r="E325" s="53">
        <v>1</v>
      </c>
      <c r="F325" s="53">
        <f t="shared" si="75"/>
        <v>655</v>
      </c>
      <c r="G325" s="53">
        <f t="shared" si="77"/>
        <v>655</v>
      </c>
      <c r="H325" s="14" t="s">
        <v>471</v>
      </c>
      <c r="I325" s="53" t="str">
        <f t="shared" si="74"/>
        <v>FF14_6</v>
      </c>
    </row>
    <row r="326" spans="1:9" s="3" customFormat="1" ht="25.5" x14ac:dyDescent="0.25">
      <c r="A326" s="53" t="s">
        <v>486</v>
      </c>
      <c r="B326" s="57" t="str">
        <f>A326&amp;".Which of the following have you ever done using a bank account? "&amp;'FF14&amp;16'!B8</f>
        <v>FF14.7.Which of the following have you ever done using a bank account? Paid rent</v>
      </c>
      <c r="C326" s="57" t="s">
        <v>142</v>
      </c>
      <c r="D326" s="53" t="s">
        <v>38</v>
      </c>
      <c r="E326" s="53">
        <v>1</v>
      </c>
      <c r="F326" s="53">
        <f t="shared" si="75"/>
        <v>656</v>
      </c>
      <c r="G326" s="53">
        <f t="shared" si="77"/>
        <v>656</v>
      </c>
      <c r="H326" s="14" t="s">
        <v>471</v>
      </c>
      <c r="I326" s="53" t="str">
        <f t="shared" si="74"/>
        <v>FF14_7</v>
      </c>
    </row>
    <row r="327" spans="1:9" s="3" customFormat="1" ht="25.5" x14ac:dyDescent="0.25">
      <c r="A327" s="53" t="s">
        <v>487</v>
      </c>
      <c r="B327" s="57" t="str">
        <f>A327&amp;".Which of the following have you ever done using a bank account? "&amp;'FF14&amp;16'!B9</f>
        <v>FF14.8.Which of the following have you ever done using a bank account? Pay a government bill, including tax, fine or fee</v>
      </c>
      <c r="C327" s="57" t="s">
        <v>142</v>
      </c>
      <c r="D327" s="53" t="s">
        <v>38</v>
      </c>
      <c r="E327" s="53">
        <v>1</v>
      </c>
      <c r="F327" s="53">
        <f t="shared" si="75"/>
        <v>657</v>
      </c>
      <c r="G327" s="53">
        <f t="shared" si="77"/>
        <v>657</v>
      </c>
      <c r="H327" s="14" t="s">
        <v>471</v>
      </c>
      <c r="I327" s="53" t="str">
        <f t="shared" si="74"/>
        <v>FF14_8</v>
      </c>
    </row>
    <row r="328" spans="1:9" s="3" customFormat="1" ht="38.25" x14ac:dyDescent="0.25">
      <c r="A328" s="53" t="s">
        <v>488</v>
      </c>
      <c r="B328" s="57" t="str">
        <f>A328&amp;".Which of the following have you ever done using a bank account? "&amp;'FF14&amp;16'!B10</f>
        <v>FF14.9.Which of the following have you ever done using a bank account? Send money to family members, friends, workmates or other acquaintances for regular support/allowances, to help with emergencies, or for other reasons</v>
      </c>
      <c r="C328" s="57" t="s">
        <v>142</v>
      </c>
      <c r="D328" s="53" t="s">
        <v>38</v>
      </c>
      <c r="E328" s="53">
        <v>1</v>
      </c>
      <c r="F328" s="53">
        <f t="shared" si="75"/>
        <v>658</v>
      </c>
      <c r="G328" s="53">
        <f t="shared" si="77"/>
        <v>658</v>
      </c>
      <c r="H328" s="14" t="s">
        <v>471</v>
      </c>
      <c r="I328" s="53" t="str">
        <f t="shared" si="74"/>
        <v>FF14_9</v>
      </c>
    </row>
    <row r="329" spans="1:9" s="3" customFormat="1" ht="38.25" x14ac:dyDescent="0.25">
      <c r="A329" s="53" t="s">
        <v>489</v>
      </c>
      <c r="B329" s="57" t="str">
        <f>A329&amp;".Which of the following have you ever done using a bank account? "&amp;'FF14&amp;16'!B11</f>
        <v>FF14.10.Which of the following have you ever done using a bank account? Receive money from family members, friends, workmates or other acquaintances for regular support/allowances, to help with emergencies, or for other reasons</v>
      </c>
      <c r="C329" s="57" t="s">
        <v>142</v>
      </c>
      <c r="D329" s="53" t="s">
        <v>38</v>
      </c>
      <c r="E329" s="53">
        <v>1</v>
      </c>
      <c r="F329" s="53">
        <f t="shared" si="75"/>
        <v>659</v>
      </c>
      <c r="G329" s="53">
        <f t="shared" si="77"/>
        <v>659</v>
      </c>
      <c r="H329" s="14" t="s">
        <v>471</v>
      </c>
      <c r="I329" s="53" t="str">
        <f t="shared" si="74"/>
        <v>FF14_10</v>
      </c>
    </row>
    <row r="330" spans="1:9" s="3" customFormat="1" ht="25.5" x14ac:dyDescent="0.25">
      <c r="A330" s="53" t="s">
        <v>490</v>
      </c>
      <c r="B330" s="57" t="str">
        <f>A330&amp;".Which of the following have you ever done using a bank account? "&amp;'FF14&amp;16'!B12</f>
        <v>FF14.11.Which of the following have you ever done using a bank account? Receive welfare, pension or other benefit payment from the government</v>
      </c>
      <c r="C330" s="57" t="s">
        <v>142</v>
      </c>
      <c r="D330" s="53" t="s">
        <v>38</v>
      </c>
      <c r="E330" s="53">
        <v>1</v>
      </c>
      <c r="F330" s="53">
        <f t="shared" si="75"/>
        <v>660</v>
      </c>
      <c r="G330" s="53">
        <f t="shared" si="77"/>
        <v>660</v>
      </c>
      <c r="H330" s="14" t="s">
        <v>471</v>
      </c>
      <c r="I330" s="53" t="str">
        <f t="shared" si="74"/>
        <v>FF14_11</v>
      </c>
    </row>
    <row r="331" spans="1:9" s="3" customFormat="1" ht="25.5" x14ac:dyDescent="0.25">
      <c r="A331" s="53" t="s">
        <v>491</v>
      </c>
      <c r="B331" s="57" t="str">
        <f>A331&amp;".Which of the following have you ever done using a bank account? "&amp;'FF14&amp;16'!B13</f>
        <v>FF14.12.Which of the following have you ever done using a bank account? Receive wages for primary or secondary job</v>
      </c>
      <c r="C331" s="57" t="s">
        <v>142</v>
      </c>
      <c r="D331" s="53" t="s">
        <v>38</v>
      </c>
      <c r="E331" s="53">
        <v>1</v>
      </c>
      <c r="F331" s="53">
        <f t="shared" si="75"/>
        <v>661</v>
      </c>
      <c r="G331" s="53">
        <f t="shared" si="77"/>
        <v>661</v>
      </c>
      <c r="H331" s="14" t="s">
        <v>471</v>
      </c>
      <c r="I331" s="53" t="str">
        <f t="shared" si="74"/>
        <v>FF14_12</v>
      </c>
    </row>
    <row r="332" spans="1:9" s="3" customFormat="1" ht="25.5" x14ac:dyDescent="0.25">
      <c r="A332" s="53" t="s">
        <v>492</v>
      </c>
      <c r="B332" s="57" t="str">
        <f>A332&amp;".Which of the following have you ever done using a bank account? "&amp;'FF14&amp;16'!B14</f>
        <v>FF14.13.Which of the following have you ever done using a bank account? Pay for large acquisitions, including land, cattle, residence</v>
      </c>
      <c r="C332" s="57" t="s">
        <v>142</v>
      </c>
      <c r="D332" s="53" t="s">
        <v>38</v>
      </c>
      <c r="E332" s="53">
        <v>1</v>
      </c>
      <c r="F332" s="53">
        <f t="shared" si="75"/>
        <v>662</v>
      </c>
      <c r="G332" s="53">
        <f t="shared" ref="G332:G360" si="78">G331+E332</f>
        <v>662</v>
      </c>
      <c r="H332" s="14" t="s">
        <v>471</v>
      </c>
      <c r="I332" s="53" t="str">
        <f t="shared" si="74"/>
        <v>FF14_13</v>
      </c>
    </row>
    <row r="333" spans="1:9" s="3" customFormat="1" ht="25.5" x14ac:dyDescent="0.25">
      <c r="A333" s="53" t="s">
        <v>493</v>
      </c>
      <c r="B333" s="57" t="str">
        <f>A333&amp;".Which of the following have you ever done using a bank account? "&amp;'FF14&amp;16'!B15</f>
        <v>FF14.14.Which of the following have you ever done using a bank account? Make insurance-related payments or receive claims on insurance</v>
      </c>
      <c r="C333" s="57" t="s">
        <v>142</v>
      </c>
      <c r="D333" s="53" t="s">
        <v>38</v>
      </c>
      <c r="E333" s="53">
        <v>1</v>
      </c>
      <c r="F333" s="53">
        <f t="shared" si="75"/>
        <v>663</v>
      </c>
      <c r="G333" s="53">
        <f t="shared" si="78"/>
        <v>663</v>
      </c>
      <c r="H333" s="14" t="s">
        <v>471</v>
      </c>
      <c r="I333" s="53" t="str">
        <f t="shared" si="74"/>
        <v>FF14_14</v>
      </c>
    </row>
    <row r="334" spans="1:9" s="3" customFormat="1" ht="25.5" x14ac:dyDescent="0.25">
      <c r="A334" s="53" t="s">
        <v>494</v>
      </c>
      <c r="B334" s="57" t="str">
        <f>A334&amp;".Which of the following have you ever done using a bank account? "&amp;'FF14&amp;16'!B16</f>
        <v>FF14.15.Which of the following have you ever done using a bank account? Took a loan or make payments on a loan, give a loan or receive payments on a loan</v>
      </c>
      <c r="C334" s="57" t="s">
        <v>142</v>
      </c>
      <c r="D334" s="53" t="s">
        <v>38</v>
      </c>
      <c r="E334" s="53">
        <v>1</v>
      </c>
      <c r="F334" s="53">
        <f t="shared" si="75"/>
        <v>664</v>
      </c>
      <c r="G334" s="53">
        <f t="shared" si="78"/>
        <v>664</v>
      </c>
      <c r="H334" s="14" t="s">
        <v>471</v>
      </c>
      <c r="I334" s="53" t="str">
        <f t="shared" si="74"/>
        <v>FF14_15</v>
      </c>
    </row>
    <row r="335" spans="1:9" s="3" customFormat="1" ht="25.5" x14ac:dyDescent="0.25">
      <c r="A335" s="53" t="s">
        <v>495</v>
      </c>
      <c r="B335" s="57" t="str">
        <f>A335&amp;".Which of the following have you ever done using a bank account? "&amp;'FF14&amp;16'!B17</f>
        <v>FF14.16.Which of the following have you ever done using a bank account? Save money for a future purchase or payment</v>
      </c>
      <c r="C335" s="57" t="s">
        <v>142</v>
      </c>
      <c r="D335" s="53" t="s">
        <v>38</v>
      </c>
      <c r="E335" s="53">
        <v>1</v>
      </c>
      <c r="F335" s="53">
        <f t="shared" si="75"/>
        <v>665</v>
      </c>
      <c r="G335" s="53">
        <f t="shared" si="78"/>
        <v>665</v>
      </c>
      <c r="H335" s="14" t="s">
        <v>471</v>
      </c>
      <c r="I335" s="53" t="str">
        <f t="shared" si="74"/>
        <v>FF14_16</v>
      </c>
    </row>
    <row r="336" spans="1:9" s="3" customFormat="1" ht="25.5" x14ac:dyDescent="0.25">
      <c r="A336" s="53" t="s">
        <v>496</v>
      </c>
      <c r="B336" s="57" t="str">
        <f>A336&amp;".Which of the following have you ever done using a bank account? "&amp;'FF14&amp;16'!B18</f>
        <v>FF14.17.Which of the following have you ever done using a bank account? Set aside money for pension, paid pension contributions</v>
      </c>
      <c r="C336" s="57" t="s">
        <v>142</v>
      </c>
      <c r="D336" s="53" t="s">
        <v>38</v>
      </c>
      <c r="E336" s="53">
        <v>1</v>
      </c>
      <c r="F336" s="53">
        <f t="shared" si="75"/>
        <v>666</v>
      </c>
      <c r="G336" s="53">
        <f t="shared" si="78"/>
        <v>666</v>
      </c>
      <c r="H336" s="14" t="s">
        <v>471</v>
      </c>
      <c r="I336" s="53" t="str">
        <f t="shared" si="74"/>
        <v>FF14_17</v>
      </c>
    </row>
    <row r="337" spans="1:9" s="3" customFormat="1" ht="25.5" x14ac:dyDescent="0.25">
      <c r="A337" s="53" t="s">
        <v>497</v>
      </c>
      <c r="B337" s="57" t="str">
        <f>A337&amp;".Which of the following have you ever done using a bank account? "&amp;'FF14&amp;16'!B19</f>
        <v>FF14.18.Which of the following have you ever done using a bank account? Set money aside just in case/for an undetermined purpose</v>
      </c>
      <c r="C337" s="57" t="s">
        <v>142</v>
      </c>
      <c r="D337" s="53" t="s">
        <v>38</v>
      </c>
      <c r="E337" s="53">
        <v>1</v>
      </c>
      <c r="F337" s="53">
        <f t="shared" si="75"/>
        <v>667</v>
      </c>
      <c r="G337" s="53">
        <f t="shared" si="78"/>
        <v>667</v>
      </c>
      <c r="H337" s="14" t="s">
        <v>471</v>
      </c>
      <c r="I337" s="53" t="str">
        <f t="shared" si="74"/>
        <v>FF14_18</v>
      </c>
    </row>
    <row r="338" spans="1:9" s="3" customFormat="1" ht="25.5" x14ac:dyDescent="0.25">
      <c r="A338" s="53" t="s">
        <v>498</v>
      </c>
      <c r="B338" s="57" t="str">
        <f>A338&amp;".Which of the following have you ever done using a bank account? "&amp;'FF14&amp;16'!B20</f>
        <v>FF14.19.Which of the following have you ever done using a bank account? Make an investment, including buy stock or shares</v>
      </c>
      <c r="C338" s="57" t="s">
        <v>142</v>
      </c>
      <c r="D338" s="53" t="s">
        <v>38</v>
      </c>
      <c r="E338" s="53">
        <v>1</v>
      </c>
      <c r="F338" s="53">
        <f t="shared" si="75"/>
        <v>668</v>
      </c>
      <c r="G338" s="53">
        <f t="shared" si="78"/>
        <v>668</v>
      </c>
      <c r="H338" s="14" t="s">
        <v>471</v>
      </c>
      <c r="I338" s="53" t="str">
        <f t="shared" si="74"/>
        <v>FF14_19</v>
      </c>
    </row>
    <row r="339" spans="1:9" s="3" customFormat="1" ht="25.5" x14ac:dyDescent="0.25">
      <c r="A339" s="53" t="s">
        <v>499</v>
      </c>
      <c r="B339" s="57" t="str">
        <f>A339&amp;".Which of the following have you ever done using a bank account? "&amp;'FF14&amp;16'!B21</f>
        <v>FF14.20.Which of the following have you ever done using a bank account? Paid for goods or services at a grocery store, clothing shop or any other store/shop</v>
      </c>
      <c r="C339" s="57" t="s">
        <v>142</v>
      </c>
      <c r="D339" s="53" t="s">
        <v>38</v>
      </c>
      <c r="E339" s="53">
        <v>1</v>
      </c>
      <c r="F339" s="53">
        <f t="shared" si="75"/>
        <v>669</v>
      </c>
      <c r="G339" s="53">
        <f t="shared" si="78"/>
        <v>669</v>
      </c>
      <c r="H339" s="14" t="s">
        <v>471</v>
      </c>
      <c r="I339" s="53" t="str">
        <f t="shared" si="74"/>
        <v>FF14_20</v>
      </c>
    </row>
    <row r="340" spans="1:9" s="3" customFormat="1" ht="25.5" x14ac:dyDescent="0.25">
      <c r="A340" s="53" t="s">
        <v>500</v>
      </c>
      <c r="B340" s="57" t="str">
        <f>A340&amp;".Which of the following have you ever done using a bank account? "&amp;'FF14&amp;16'!B22</f>
        <v>FF14.21.Which of the following have you ever done using a bank account? Transfer money between a bank account and an account with another financial institution</v>
      </c>
      <c r="C340" s="57" t="s">
        <v>142</v>
      </c>
      <c r="D340" s="53" t="s">
        <v>38</v>
      </c>
      <c r="E340" s="53">
        <v>1</v>
      </c>
      <c r="F340" s="53">
        <f t="shared" si="75"/>
        <v>670</v>
      </c>
      <c r="G340" s="53">
        <f t="shared" si="78"/>
        <v>670</v>
      </c>
      <c r="H340" s="14" t="s">
        <v>471</v>
      </c>
      <c r="I340" s="53" t="str">
        <f t="shared" si="74"/>
        <v>FF14_21</v>
      </c>
    </row>
    <row r="341" spans="1:9" s="3" customFormat="1" ht="25.5" x14ac:dyDescent="0.25">
      <c r="A341" s="53" t="s">
        <v>501</v>
      </c>
      <c r="B341" s="57" t="str">
        <f>A341&amp;".Which of the following have you ever done using a bank account? "&amp;'FF14&amp;16'!B23</f>
        <v>FF14.22.Which of the following have you ever done using a bank account? Pay money to or receive money from your Savings and/or lending group</v>
      </c>
      <c r="C341" s="57" t="s">
        <v>142</v>
      </c>
      <c r="D341" s="53" t="s">
        <v>38</v>
      </c>
      <c r="E341" s="53">
        <v>1</v>
      </c>
      <c r="F341" s="53">
        <f t="shared" si="75"/>
        <v>671</v>
      </c>
      <c r="G341" s="53">
        <f t="shared" si="78"/>
        <v>671</v>
      </c>
      <c r="H341" s="14" t="s">
        <v>471</v>
      </c>
      <c r="I341" s="53" t="str">
        <f t="shared" si="74"/>
        <v>FF14_22</v>
      </c>
    </row>
    <row r="342" spans="1:9" s="3" customFormat="1" ht="38.25" x14ac:dyDescent="0.25">
      <c r="A342" s="53" t="s">
        <v>502</v>
      </c>
      <c r="B342" s="57" t="str">
        <f>A342&amp;".Which of the following have you ever done using a bank account? "&amp;'FF14&amp;16'!B24</f>
        <v>FF14.23.Which of the following have you ever done using a bank account? Account maintenance: Check your account balance, change PIN, receive mini-statement, etc.</v>
      </c>
      <c r="C342" s="57" t="s">
        <v>142</v>
      </c>
      <c r="D342" s="53" t="s">
        <v>38</v>
      </c>
      <c r="E342" s="53">
        <v>1</v>
      </c>
      <c r="F342" s="53">
        <f t="shared" si="75"/>
        <v>672</v>
      </c>
      <c r="G342" s="53">
        <f t="shared" si="78"/>
        <v>672</v>
      </c>
      <c r="H342" s="14" t="s">
        <v>471</v>
      </c>
      <c r="I342" s="53" t="str">
        <f t="shared" si="74"/>
        <v>FF14_23</v>
      </c>
    </row>
    <row r="343" spans="1:9" s="3" customFormat="1" ht="25.5" x14ac:dyDescent="0.25">
      <c r="A343" s="53" t="s">
        <v>503</v>
      </c>
      <c r="B343" s="57" t="str">
        <f>A343&amp;".Which of the following have you ever done using a bank account? "&amp;'FF14&amp;16'!B25</f>
        <v>FF14.96.Which of the following have you ever done using a bank account? Other (Specify)</v>
      </c>
      <c r="C343" s="57" t="s">
        <v>142</v>
      </c>
      <c r="D343" s="53" t="s">
        <v>38</v>
      </c>
      <c r="E343" s="53">
        <v>1</v>
      </c>
      <c r="F343" s="53">
        <f t="shared" si="75"/>
        <v>673</v>
      </c>
      <c r="G343" s="53">
        <f t="shared" si="78"/>
        <v>673</v>
      </c>
      <c r="H343" s="14" t="s">
        <v>471</v>
      </c>
      <c r="I343" s="53" t="str">
        <f t="shared" si="74"/>
        <v>FF14_96</v>
      </c>
    </row>
    <row r="344" spans="1:9" s="3" customFormat="1" ht="76.5" x14ac:dyDescent="0.25">
      <c r="A344" s="53" t="s">
        <v>504</v>
      </c>
      <c r="B344" s="57" t="str">
        <f>A344&amp;".When was the last time you used a bank account for this activity?"&amp;'FF14&amp;16'!B2</f>
        <v>FF16.1.When was the last time you used a bank account for this activity?Deposited money</v>
      </c>
      <c r="C344" s="57" t="s">
        <v>381</v>
      </c>
      <c r="D344" s="53" t="s">
        <v>38</v>
      </c>
      <c r="E344" s="53">
        <v>1</v>
      </c>
      <c r="F344" s="53">
        <f t="shared" si="75"/>
        <v>674</v>
      </c>
      <c r="G344" s="53">
        <f t="shared" si="78"/>
        <v>674</v>
      </c>
      <c r="H344" s="14" t="str">
        <f t="shared" ref="H344:H367" si="79">"IF "&amp;I320&amp;"=1"</f>
        <v>IF FF14_1=1</v>
      </c>
      <c r="I344" s="53" t="str">
        <f t="shared" si="74"/>
        <v>FF16_1</v>
      </c>
    </row>
    <row r="345" spans="1:9" s="3" customFormat="1" ht="76.5" x14ac:dyDescent="0.25">
      <c r="A345" s="53" t="s">
        <v>505</v>
      </c>
      <c r="B345" s="57" t="str">
        <f>A345&amp;".When was the last time you used a bank account for this activity?"&amp;'FF14&amp;16'!B3</f>
        <v>FF16.2.When was the last time you used a bank account for this activity?Withdrew money</v>
      </c>
      <c r="C345" s="57" t="s">
        <v>381</v>
      </c>
      <c r="D345" s="53" t="s">
        <v>38</v>
      </c>
      <c r="E345" s="53">
        <v>1</v>
      </c>
      <c r="F345" s="53">
        <f t="shared" si="75"/>
        <v>675</v>
      </c>
      <c r="G345" s="53">
        <f t="shared" si="78"/>
        <v>675</v>
      </c>
      <c r="H345" s="14" t="str">
        <f t="shared" si="79"/>
        <v>IF FF14_2=1</v>
      </c>
      <c r="I345" s="53" t="str">
        <f t="shared" si="74"/>
        <v>FF16_2</v>
      </c>
    </row>
    <row r="346" spans="1:9" s="3" customFormat="1" ht="76.5" x14ac:dyDescent="0.25">
      <c r="A346" s="53" t="s">
        <v>506</v>
      </c>
      <c r="B346" s="57" t="str">
        <f>A346&amp;".When was the last time you used a bank account for this activity?"&amp;'FF14&amp;16'!B4</f>
        <v>FF16.3.When was the last time you used a bank account for this activity?Buy airtime top-ups, pay mobile phone bill</v>
      </c>
      <c r="C346" s="57" t="s">
        <v>381</v>
      </c>
      <c r="D346" s="53" t="s">
        <v>38</v>
      </c>
      <c r="E346" s="53">
        <v>1</v>
      </c>
      <c r="F346" s="53">
        <f t="shared" si="75"/>
        <v>676</v>
      </c>
      <c r="G346" s="53">
        <f t="shared" si="78"/>
        <v>676</v>
      </c>
      <c r="H346" s="14" t="str">
        <f>"IF "&amp;I322&amp;"=1"</f>
        <v>IF FF14_3=1</v>
      </c>
      <c r="I346" s="53" t="str">
        <f t="shared" si="74"/>
        <v>FF16_3</v>
      </c>
    </row>
    <row r="347" spans="1:9" s="3" customFormat="1" ht="76.5" x14ac:dyDescent="0.25">
      <c r="A347" s="53" t="s">
        <v>507</v>
      </c>
      <c r="B347" s="57" t="str">
        <f>A347&amp;".When was the last time you used a bank account for this activity?"&amp;'FF14&amp;16'!B5</f>
        <v>FF16.4.When was the last time you used a bank account for this activity?Pay a school fee</v>
      </c>
      <c r="C347" s="57" t="s">
        <v>381</v>
      </c>
      <c r="D347" s="53" t="s">
        <v>38</v>
      </c>
      <c r="E347" s="53">
        <v>1</v>
      </c>
      <c r="F347" s="53">
        <f t="shared" si="75"/>
        <v>677</v>
      </c>
      <c r="G347" s="53">
        <f t="shared" si="78"/>
        <v>677</v>
      </c>
      <c r="H347" s="14" t="str">
        <f t="shared" si="79"/>
        <v>IF FF14_4=1</v>
      </c>
      <c r="I347" s="53" t="str">
        <f t="shared" si="74"/>
        <v>FF16_4</v>
      </c>
    </row>
    <row r="348" spans="1:9" s="3" customFormat="1" ht="76.5" x14ac:dyDescent="0.25">
      <c r="A348" s="53" t="s">
        <v>508</v>
      </c>
      <c r="B348" s="57" t="str">
        <f>A348&amp;".When was the last time you used a bank account for this activity?"&amp;'FF14&amp;16'!B6</f>
        <v>FF16.5.When was the last time you used a bank account for this activity?Pay a medical bill</v>
      </c>
      <c r="C348" s="57" t="s">
        <v>381</v>
      </c>
      <c r="D348" s="53" t="s">
        <v>38</v>
      </c>
      <c r="E348" s="53">
        <v>1</v>
      </c>
      <c r="F348" s="53">
        <f t="shared" si="75"/>
        <v>678</v>
      </c>
      <c r="G348" s="53">
        <f t="shared" si="78"/>
        <v>678</v>
      </c>
      <c r="H348" s="14" t="str">
        <f t="shared" si="79"/>
        <v>IF FF14_5=1</v>
      </c>
      <c r="I348" s="53" t="str">
        <f t="shared" si="74"/>
        <v>FF16_5</v>
      </c>
    </row>
    <row r="349" spans="1:9" s="3" customFormat="1" ht="76.5" x14ac:dyDescent="0.25">
      <c r="A349" s="53" t="s">
        <v>509</v>
      </c>
      <c r="B349" s="57" t="str">
        <f>A349&amp;".When was the last time you used a bank account for this activity?"&amp;'FF14&amp;16'!B7</f>
        <v>FF16.6.When was the last time you used a bank account for this activity?Pay an utility bill (i.e electricity, water, solar, TV/cable)</v>
      </c>
      <c r="C349" s="57" t="s">
        <v>381</v>
      </c>
      <c r="D349" s="53" t="s">
        <v>38</v>
      </c>
      <c r="E349" s="53">
        <v>1</v>
      </c>
      <c r="F349" s="53">
        <f t="shared" ref="F349:F367" si="80">G348+1</f>
        <v>679</v>
      </c>
      <c r="G349" s="53">
        <f t="shared" si="78"/>
        <v>679</v>
      </c>
      <c r="H349" s="14" t="str">
        <f t="shared" si="79"/>
        <v>IF FF14_6=1</v>
      </c>
      <c r="I349" s="53" t="str">
        <f t="shared" si="74"/>
        <v>FF16_6</v>
      </c>
    </row>
    <row r="350" spans="1:9" s="3" customFormat="1" ht="76.5" x14ac:dyDescent="0.25">
      <c r="A350" s="53" t="s">
        <v>510</v>
      </c>
      <c r="B350" s="57" t="str">
        <f>A350&amp;".When was the last time you used a bank account for this activity?"&amp;'FF14&amp;16'!B8</f>
        <v>FF16.7.When was the last time you used a bank account for this activity?Paid rent</v>
      </c>
      <c r="C350" s="57" t="s">
        <v>381</v>
      </c>
      <c r="D350" s="53" t="s">
        <v>38</v>
      </c>
      <c r="E350" s="53">
        <v>1</v>
      </c>
      <c r="F350" s="53">
        <f t="shared" si="80"/>
        <v>680</v>
      </c>
      <c r="G350" s="53">
        <f t="shared" si="78"/>
        <v>680</v>
      </c>
      <c r="H350" s="14" t="str">
        <f t="shared" si="79"/>
        <v>IF FF14_7=1</v>
      </c>
      <c r="I350" s="53" t="str">
        <f t="shared" si="74"/>
        <v>FF16_7</v>
      </c>
    </row>
    <row r="351" spans="1:9" s="3" customFormat="1" ht="76.5" x14ac:dyDescent="0.25">
      <c r="A351" s="53" t="s">
        <v>511</v>
      </c>
      <c r="B351" s="57" t="str">
        <f>A351&amp;".When was the last time you used a bank account for this activity?"&amp;'FF14&amp;16'!B9</f>
        <v>FF16.8.When was the last time you used a bank account for this activity?Pay a government bill, including tax, fine or fee</v>
      </c>
      <c r="C351" s="57" t="s">
        <v>381</v>
      </c>
      <c r="D351" s="53" t="s">
        <v>38</v>
      </c>
      <c r="E351" s="53">
        <v>1</v>
      </c>
      <c r="F351" s="53">
        <f t="shared" si="80"/>
        <v>681</v>
      </c>
      <c r="G351" s="53">
        <f t="shared" si="78"/>
        <v>681</v>
      </c>
      <c r="H351" s="14" t="str">
        <f t="shared" si="79"/>
        <v>IF FF14_8=1</v>
      </c>
      <c r="I351" s="53" t="str">
        <f t="shared" si="74"/>
        <v>FF16_8</v>
      </c>
    </row>
    <row r="352" spans="1:9" s="3" customFormat="1" ht="76.5" x14ac:dyDescent="0.25">
      <c r="A352" s="53" t="s">
        <v>512</v>
      </c>
      <c r="B352" s="57" t="str">
        <f>A352&amp;".When was the last time you used a bank account for this activity?"&amp;'FF14&amp;16'!B10</f>
        <v>FF16.9.When was the last time you used a bank account for this activity?Send money to family members, friends, workmates or other acquaintances for regular support/allowances, to help with emergencies, or for other reasons</v>
      </c>
      <c r="C352" s="57" t="s">
        <v>381</v>
      </c>
      <c r="D352" s="53" t="s">
        <v>38</v>
      </c>
      <c r="E352" s="53">
        <v>1</v>
      </c>
      <c r="F352" s="53">
        <f t="shared" si="80"/>
        <v>682</v>
      </c>
      <c r="G352" s="53">
        <f t="shared" si="78"/>
        <v>682</v>
      </c>
      <c r="H352" s="14" t="str">
        <f t="shared" si="79"/>
        <v>IF FF14_9=1</v>
      </c>
      <c r="I352" s="53" t="str">
        <f t="shared" si="74"/>
        <v>FF16_9</v>
      </c>
    </row>
    <row r="353" spans="1:9" s="3" customFormat="1" ht="76.5" x14ac:dyDescent="0.25">
      <c r="A353" s="53" t="s">
        <v>513</v>
      </c>
      <c r="B353" s="57" t="str">
        <f>A353&amp;".When was the last time you used a bank account for this activity?"&amp;'FF14&amp;16'!B11</f>
        <v>FF16.10.When was the last time you used a bank account for this activity?Receive money from family members, friends, workmates or other acquaintances for regular support/allowances, to help with emergencies, or for other reasons</v>
      </c>
      <c r="C353" s="57" t="s">
        <v>381</v>
      </c>
      <c r="D353" s="53" t="s">
        <v>38</v>
      </c>
      <c r="E353" s="53">
        <v>1</v>
      </c>
      <c r="F353" s="53">
        <f t="shared" si="80"/>
        <v>683</v>
      </c>
      <c r="G353" s="53">
        <f t="shared" si="78"/>
        <v>683</v>
      </c>
      <c r="H353" s="14" t="str">
        <f t="shared" si="79"/>
        <v>IF FF14_10=1</v>
      </c>
      <c r="I353" s="53" t="str">
        <f t="shared" si="74"/>
        <v>FF16_10</v>
      </c>
    </row>
    <row r="354" spans="1:9" s="3" customFormat="1" ht="76.5" x14ac:dyDescent="0.25">
      <c r="A354" s="53" t="s">
        <v>514</v>
      </c>
      <c r="B354" s="57" t="str">
        <f>A354&amp;".When was the last time you used a bank account for this activity?"&amp;'FF14&amp;16'!B12</f>
        <v>FF16.11.When was the last time you used a bank account for this activity?Receive welfare, pension or other benefit payment from the government</v>
      </c>
      <c r="C354" s="57" t="s">
        <v>381</v>
      </c>
      <c r="D354" s="53" t="s">
        <v>38</v>
      </c>
      <c r="E354" s="53">
        <v>1</v>
      </c>
      <c r="F354" s="53">
        <f t="shared" si="80"/>
        <v>684</v>
      </c>
      <c r="G354" s="53">
        <f t="shared" si="78"/>
        <v>684</v>
      </c>
      <c r="H354" s="14" t="str">
        <f t="shared" si="79"/>
        <v>IF FF14_11=1</v>
      </c>
      <c r="I354" s="53" t="str">
        <f t="shared" si="74"/>
        <v>FF16_11</v>
      </c>
    </row>
    <row r="355" spans="1:9" s="3" customFormat="1" ht="76.5" x14ac:dyDescent="0.25">
      <c r="A355" s="53" t="s">
        <v>515</v>
      </c>
      <c r="B355" s="57" t="str">
        <f>A355&amp;".When was the last time you used a bank account for this activity?"&amp;'FF14&amp;16'!B13</f>
        <v>FF16.12.When was the last time you used a bank account for this activity?Receive wages for primary or secondary job</v>
      </c>
      <c r="C355" s="57" t="s">
        <v>381</v>
      </c>
      <c r="D355" s="53" t="s">
        <v>38</v>
      </c>
      <c r="E355" s="53">
        <v>1</v>
      </c>
      <c r="F355" s="53">
        <f t="shared" si="80"/>
        <v>685</v>
      </c>
      <c r="G355" s="53">
        <f t="shared" si="78"/>
        <v>685</v>
      </c>
      <c r="H355" s="14" t="str">
        <f t="shared" si="79"/>
        <v>IF FF14_12=1</v>
      </c>
      <c r="I355" s="53" t="str">
        <f t="shared" si="74"/>
        <v>FF16_12</v>
      </c>
    </row>
    <row r="356" spans="1:9" s="3" customFormat="1" ht="76.5" x14ac:dyDescent="0.25">
      <c r="A356" s="53" t="s">
        <v>516</v>
      </c>
      <c r="B356" s="57" t="str">
        <f>A356&amp;".When was the last time you used a bank account for this activity?"&amp;'FF14&amp;16'!B14</f>
        <v>FF16.13.When was the last time you used a bank account for this activity?Pay for large acquisitions, including land, cattle, residence</v>
      </c>
      <c r="C356" s="57" t="s">
        <v>381</v>
      </c>
      <c r="D356" s="53" t="s">
        <v>38</v>
      </c>
      <c r="E356" s="53">
        <v>1</v>
      </c>
      <c r="F356" s="53">
        <f t="shared" si="80"/>
        <v>686</v>
      </c>
      <c r="G356" s="53">
        <f t="shared" si="78"/>
        <v>686</v>
      </c>
      <c r="H356" s="14" t="str">
        <f t="shared" si="79"/>
        <v>IF FF14_13=1</v>
      </c>
      <c r="I356" s="53" t="str">
        <f t="shared" si="74"/>
        <v>FF16_13</v>
      </c>
    </row>
    <row r="357" spans="1:9" s="3" customFormat="1" ht="76.5" x14ac:dyDescent="0.25">
      <c r="A357" s="53" t="s">
        <v>517</v>
      </c>
      <c r="B357" s="57" t="str">
        <f>A357&amp;".When was the last time you used a bank account for this activity?"&amp;'FF14&amp;16'!B15</f>
        <v>FF16.14.When was the last time you used a bank account for this activity?Make insurance-related payments or receive claims on insurance</v>
      </c>
      <c r="C357" s="57" t="s">
        <v>381</v>
      </c>
      <c r="D357" s="53" t="s">
        <v>38</v>
      </c>
      <c r="E357" s="53">
        <v>1</v>
      </c>
      <c r="F357" s="53">
        <f t="shared" si="80"/>
        <v>687</v>
      </c>
      <c r="G357" s="53">
        <f t="shared" si="78"/>
        <v>687</v>
      </c>
      <c r="H357" s="14" t="str">
        <f t="shared" si="79"/>
        <v>IF FF14_14=1</v>
      </c>
      <c r="I357" s="53" t="str">
        <f t="shared" si="74"/>
        <v>FF16_14</v>
      </c>
    </row>
    <row r="358" spans="1:9" s="3" customFormat="1" ht="76.5" x14ac:dyDescent="0.25">
      <c r="A358" s="53" t="s">
        <v>518</v>
      </c>
      <c r="B358" s="57" t="str">
        <f>A358&amp;".When was the last time you used a bank account for this activity?"&amp;'FF14&amp;16'!B16</f>
        <v>FF16.15.When was the last time you used a bank account for this activity?Took a loan or make payments on a loan, give a loan or receive payments on a loan</v>
      </c>
      <c r="C358" s="57" t="s">
        <v>381</v>
      </c>
      <c r="D358" s="53" t="s">
        <v>38</v>
      </c>
      <c r="E358" s="53">
        <v>1</v>
      </c>
      <c r="F358" s="53">
        <f t="shared" si="80"/>
        <v>688</v>
      </c>
      <c r="G358" s="53">
        <f t="shared" si="78"/>
        <v>688</v>
      </c>
      <c r="H358" s="14" t="str">
        <f t="shared" si="79"/>
        <v>IF FF14_15=1</v>
      </c>
      <c r="I358" s="53" t="str">
        <f t="shared" si="74"/>
        <v>FF16_15</v>
      </c>
    </row>
    <row r="359" spans="1:9" s="3" customFormat="1" ht="76.5" x14ac:dyDescent="0.25">
      <c r="A359" s="53" t="s">
        <v>519</v>
      </c>
      <c r="B359" s="57" t="str">
        <f>A359&amp;".When was the last time you used a bank account for this activity?"&amp;'FF14&amp;16'!B17</f>
        <v>FF16.16.When was the last time you used a bank account for this activity?Save money for a future purchase or payment</v>
      </c>
      <c r="C359" s="57" t="s">
        <v>381</v>
      </c>
      <c r="D359" s="53" t="s">
        <v>38</v>
      </c>
      <c r="E359" s="53">
        <v>1</v>
      </c>
      <c r="F359" s="53">
        <f t="shared" si="80"/>
        <v>689</v>
      </c>
      <c r="G359" s="53">
        <f t="shared" si="78"/>
        <v>689</v>
      </c>
      <c r="H359" s="14" t="str">
        <f t="shared" si="79"/>
        <v>IF FF14_16=1</v>
      </c>
      <c r="I359" s="53" t="str">
        <f t="shared" ref="I359:I377" si="81">SUBSTITUTE(A359,".","_")</f>
        <v>FF16_16</v>
      </c>
    </row>
    <row r="360" spans="1:9" s="3" customFormat="1" ht="76.5" x14ac:dyDescent="0.25">
      <c r="A360" s="53" t="s">
        <v>520</v>
      </c>
      <c r="B360" s="57" t="str">
        <f>A360&amp;".When was the last time you used a bank account for this activity?"&amp;'FF14&amp;16'!B18</f>
        <v>FF16.17.When was the last time you used a bank account for this activity?Set aside money for pension, paid pension contributions</v>
      </c>
      <c r="C360" s="57" t="s">
        <v>381</v>
      </c>
      <c r="D360" s="53" t="s">
        <v>38</v>
      </c>
      <c r="E360" s="53">
        <v>1</v>
      </c>
      <c r="F360" s="53">
        <f t="shared" si="80"/>
        <v>690</v>
      </c>
      <c r="G360" s="53">
        <f t="shared" si="78"/>
        <v>690</v>
      </c>
      <c r="H360" s="14" t="str">
        <f t="shared" si="79"/>
        <v>IF FF14_17=1</v>
      </c>
      <c r="I360" s="53" t="str">
        <f t="shared" si="81"/>
        <v>FF16_17</v>
      </c>
    </row>
    <row r="361" spans="1:9" s="3" customFormat="1" ht="76.5" x14ac:dyDescent="0.25">
      <c r="A361" s="53" t="s">
        <v>521</v>
      </c>
      <c r="B361" s="57" t="str">
        <f>A361&amp;".When was the last time you used a bank account for this activity?"&amp;'FF14&amp;16'!B19</f>
        <v>FF16.18.When was the last time you used a bank account for this activity?Set money aside just in case/for an undetermined purpose</v>
      </c>
      <c r="C361" s="57" t="s">
        <v>381</v>
      </c>
      <c r="D361" s="53" t="s">
        <v>38</v>
      </c>
      <c r="E361" s="53">
        <v>1</v>
      </c>
      <c r="F361" s="53">
        <f t="shared" si="80"/>
        <v>691</v>
      </c>
      <c r="G361" s="53">
        <f t="shared" ref="G361:G368" si="82">G360+E361</f>
        <v>691</v>
      </c>
      <c r="H361" s="14" t="str">
        <f t="shared" si="79"/>
        <v>IF FF14_18=1</v>
      </c>
      <c r="I361" s="53" t="str">
        <f t="shared" si="81"/>
        <v>FF16_18</v>
      </c>
    </row>
    <row r="362" spans="1:9" s="3" customFormat="1" ht="76.5" x14ac:dyDescent="0.25">
      <c r="A362" s="53" t="s">
        <v>522</v>
      </c>
      <c r="B362" s="57" t="str">
        <f>A362&amp;".When was the last time you used a bank account for this activity?"&amp;'FF14&amp;16'!B20</f>
        <v>FF16.19.When was the last time you used a bank account for this activity?Make an investment, including buy stock or shares</v>
      </c>
      <c r="C362" s="57" t="s">
        <v>381</v>
      </c>
      <c r="D362" s="53" t="s">
        <v>38</v>
      </c>
      <c r="E362" s="53">
        <v>1</v>
      </c>
      <c r="F362" s="53">
        <f t="shared" si="80"/>
        <v>692</v>
      </c>
      <c r="G362" s="53">
        <f t="shared" si="82"/>
        <v>692</v>
      </c>
      <c r="H362" s="14" t="str">
        <f t="shared" si="79"/>
        <v>IF FF14_19=1</v>
      </c>
      <c r="I362" s="53" t="str">
        <f t="shared" si="81"/>
        <v>FF16_19</v>
      </c>
    </row>
    <row r="363" spans="1:9" s="3" customFormat="1" ht="76.5" x14ac:dyDescent="0.25">
      <c r="A363" s="53" t="s">
        <v>523</v>
      </c>
      <c r="B363" s="57" t="str">
        <f>A363&amp;".When was the last time you used a bank account for this activity?"&amp;'FF14&amp;16'!B21</f>
        <v>FF16.20.When was the last time you used a bank account for this activity?Paid for goods or services at a grocery store, clothing shop or any other store/shop</v>
      </c>
      <c r="C363" s="57" t="s">
        <v>381</v>
      </c>
      <c r="D363" s="53" t="s">
        <v>38</v>
      </c>
      <c r="E363" s="53">
        <v>1</v>
      </c>
      <c r="F363" s="53">
        <f t="shared" si="80"/>
        <v>693</v>
      </c>
      <c r="G363" s="53">
        <f t="shared" si="82"/>
        <v>693</v>
      </c>
      <c r="H363" s="14" t="str">
        <f t="shared" si="79"/>
        <v>IF FF14_20=1</v>
      </c>
      <c r="I363" s="53" t="str">
        <f t="shared" si="81"/>
        <v>FF16_20</v>
      </c>
    </row>
    <row r="364" spans="1:9" s="3" customFormat="1" ht="76.5" x14ac:dyDescent="0.25">
      <c r="A364" s="53" t="s">
        <v>524</v>
      </c>
      <c r="B364" s="57" t="str">
        <f>A364&amp;".When was the last time you used a bank account for this activity?"&amp;'FF14&amp;16'!B22</f>
        <v>FF16.21.When was the last time you used a bank account for this activity?Transfer money between a bank account and an account with another financial institution</v>
      </c>
      <c r="C364" s="57" t="s">
        <v>381</v>
      </c>
      <c r="D364" s="53" t="s">
        <v>38</v>
      </c>
      <c r="E364" s="53">
        <v>1</v>
      </c>
      <c r="F364" s="53">
        <f t="shared" si="80"/>
        <v>694</v>
      </c>
      <c r="G364" s="53">
        <f t="shared" si="82"/>
        <v>694</v>
      </c>
      <c r="H364" s="14" t="str">
        <f t="shared" si="79"/>
        <v>IF FF14_21=1</v>
      </c>
      <c r="I364" s="53" t="str">
        <f t="shared" si="81"/>
        <v>FF16_21</v>
      </c>
    </row>
    <row r="365" spans="1:9" s="3" customFormat="1" ht="76.5" x14ac:dyDescent="0.25">
      <c r="A365" s="53" t="s">
        <v>525</v>
      </c>
      <c r="B365" s="57" t="str">
        <f>A365&amp;".When was the last time you used a bank account for this activity?"&amp;'FF14&amp;16'!B23</f>
        <v>FF16.22.When was the last time you used a bank account for this activity?Pay money to or receive money from your Savings and/or lending group</v>
      </c>
      <c r="C365" s="57" t="s">
        <v>381</v>
      </c>
      <c r="D365" s="53" t="s">
        <v>38</v>
      </c>
      <c r="E365" s="53">
        <v>1</v>
      </c>
      <c r="F365" s="53">
        <f t="shared" si="80"/>
        <v>695</v>
      </c>
      <c r="G365" s="53">
        <f t="shared" si="82"/>
        <v>695</v>
      </c>
      <c r="H365" s="14" t="str">
        <f t="shared" si="79"/>
        <v>IF FF14_22=1</v>
      </c>
      <c r="I365" s="53" t="str">
        <f t="shared" si="81"/>
        <v>FF16_22</v>
      </c>
    </row>
    <row r="366" spans="1:9" s="3" customFormat="1" ht="76.5" x14ac:dyDescent="0.25">
      <c r="A366" s="53" t="s">
        <v>526</v>
      </c>
      <c r="B366" s="57" t="str">
        <f>A366&amp;".When was the last time you used a bank account for this activity?"&amp;'FF14&amp;16'!B24</f>
        <v>FF16.23.When was the last time you used a bank account for this activity?Account maintenance: Check your account balance, change PIN, receive mini-statement, etc.</v>
      </c>
      <c r="C366" s="57" t="s">
        <v>381</v>
      </c>
      <c r="D366" s="53" t="s">
        <v>38</v>
      </c>
      <c r="E366" s="53">
        <v>1</v>
      </c>
      <c r="F366" s="53">
        <f t="shared" si="80"/>
        <v>696</v>
      </c>
      <c r="G366" s="53">
        <f t="shared" si="82"/>
        <v>696</v>
      </c>
      <c r="H366" s="14" t="str">
        <f t="shared" si="79"/>
        <v>IF FF14_23=1</v>
      </c>
      <c r="I366" s="53" t="str">
        <f t="shared" si="81"/>
        <v>FF16_23</v>
      </c>
    </row>
    <row r="367" spans="1:9" s="3" customFormat="1" ht="76.5" x14ac:dyDescent="0.25">
      <c r="A367" s="53" t="s">
        <v>527</v>
      </c>
      <c r="B367" s="57" t="str">
        <f>A367&amp;".When was the last time you used a bank account for this activity?"&amp;'FF14&amp;16'!B25</f>
        <v>FF16.96.When was the last time you used a bank account for this activity?Other (Specify)</v>
      </c>
      <c r="C367" s="57" t="s">
        <v>381</v>
      </c>
      <c r="D367" s="53" t="s">
        <v>38</v>
      </c>
      <c r="E367" s="53">
        <v>1</v>
      </c>
      <c r="F367" s="53">
        <f t="shared" si="80"/>
        <v>697</v>
      </c>
      <c r="G367" s="53">
        <f t="shared" si="82"/>
        <v>697</v>
      </c>
      <c r="H367" s="14" t="str">
        <f t="shared" si="79"/>
        <v>IF FF14_96=1</v>
      </c>
      <c r="I367" s="53" t="str">
        <f t="shared" si="81"/>
        <v>FF16_96</v>
      </c>
    </row>
    <row r="368" spans="1:9" s="3" customFormat="1" ht="25.5" x14ac:dyDescent="0.25">
      <c r="A368" s="53" t="s">
        <v>528</v>
      </c>
      <c r="B368" s="57" t="str">
        <f>A368&amp;".In the past 6 months, have you ever experienced any of the following when using a bank account? "&amp;Other!N2</f>
        <v>FF19.1.In the past 6 months, have you ever experienced any of the following when using a bank account? Unexpected charges</v>
      </c>
      <c r="C368" s="57" t="s">
        <v>142</v>
      </c>
      <c r="D368" s="53" t="s">
        <v>38</v>
      </c>
      <c r="E368" s="53">
        <v>1</v>
      </c>
      <c r="F368" s="53">
        <f>G367+1</f>
        <v>698</v>
      </c>
      <c r="G368" s="53">
        <f t="shared" si="82"/>
        <v>698</v>
      </c>
      <c r="H368" s="14" t="s">
        <v>471</v>
      </c>
      <c r="I368" s="53" t="str">
        <f t="shared" si="81"/>
        <v>FF19_1</v>
      </c>
    </row>
    <row r="369" spans="1:9" s="3" customFormat="1" ht="25.5" x14ac:dyDescent="0.25">
      <c r="A369" s="53" t="s">
        <v>529</v>
      </c>
      <c r="B369" s="57" t="str">
        <f>A369&amp;".In the past 6 months, have you ever experienced any of the following when using a bank account? "&amp;Other!N3</f>
        <v>FF19.2.In the past 6 months, have you ever experienced any of the following when using a bank account? Lost money</v>
      </c>
      <c r="C369" s="57" t="s">
        <v>142</v>
      </c>
      <c r="D369" s="53" t="s">
        <v>38</v>
      </c>
      <c r="E369" s="53">
        <v>1</v>
      </c>
      <c r="F369" s="53">
        <f t="shared" ref="F369:F377" si="83">G368+1</f>
        <v>699</v>
      </c>
      <c r="G369" s="53">
        <f t="shared" ref="G369:G377" si="84">G368+E369</f>
        <v>699</v>
      </c>
      <c r="H369" s="14" t="s">
        <v>471</v>
      </c>
      <c r="I369" s="53" t="str">
        <f t="shared" si="81"/>
        <v>FF19_2</v>
      </c>
    </row>
    <row r="370" spans="1:9" s="3" customFormat="1" ht="25.5" x14ac:dyDescent="0.25">
      <c r="A370" s="53" t="s">
        <v>530</v>
      </c>
      <c r="B370" s="57" t="str">
        <f>A370&amp;".In the past 6 months, have you ever experienced any of the following when using a bank account? "&amp;Other!N4</f>
        <v>FF19.3.In the past 6 months, have you ever experienced any of the following when using a bank account? Registered a complaint or called a customer care line</v>
      </c>
      <c r="C370" s="57" t="s">
        <v>142</v>
      </c>
      <c r="D370" s="53" t="s">
        <v>38</v>
      </c>
      <c r="E370" s="53">
        <v>1</v>
      </c>
      <c r="F370" s="53">
        <f t="shared" si="83"/>
        <v>700</v>
      </c>
      <c r="G370" s="53">
        <f t="shared" si="84"/>
        <v>700</v>
      </c>
      <c r="H370" s="14" t="s">
        <v>471</v>
      </c>
      <c r="I370" s="53" t="str">
        <f t="shared" si="81"/>
        <v>FF19_3</v>
      </c>
    </row>
    <row r="371" spans="1:9" s="3" customFormat="1" ht="25.5" x14ac:dyDescent="0.25">
      <c r="A371" s="53" t="s">
        <v>531</v>
      </c>
      <c r="B371" s="57" t="str">
        <f>A371&amp;".In the past 6 months, have you ever experienced any of the following when using a bank account? "&amp;Other!N5</f>
        <v>FF19.4.In the past 6 months, have you ever experienced any of the following when using a bank account? ATM not working</v>
      </c>
      <c r="C371" s="57" t="s">
        <v>142</v>
      </c>
      <c r="D371" s="53" t="s">
        <v>38</v>
      </c>
      <c r="E371" s="53">
        <v>1</v>
      </c>
      <c r="F371" s="53">
        <f t="shared" si="83"/>
        <v>701</v>
      </c>
      <c r="G371" s="53">
        <f t="shared" si="84"/>
        <v>701</v>
      </c>
      <c r="H371" s="14" t="s">
        <v>471</v>
      </c>
      <c r="I371" s="53" t="str">
        <f t="shared" si="81"/>
        <v>FF19_4</v>
      </c>
    </row>
    <row r="372" spans="1:9" s="3" customFormat="1" ht="38.25" x14ac:dyDescent="0.25">
      <c r="A372" s="53" t="s">
        <v>532</v>
      </c>
      <c r="B372" s="57" t="str">
        <f>A372&amp;".In the past 6 months, have you ever experienced any of the following when using a bank account? "&amp;Other!N6</f>
        <v>FF19.5.In the past 6 months, have you ever experienced any of the following when using a bank account? Debit/credit card did not work when paying for goods/services</v>
      </c>
      <c r="C372" s="57" t="s">
        <v>142</v>
      </c>
      <c r="D372" s="53" t="s">
        <v>38</v>
      </c>
      <c r="E372" s="53">
        <v>1</v>
      </c>
      <c r="F372" s="53">
        <f t="shared" si="83"/>
        <v>702</v>
      </c>
      <c r="G372" s="53">
        <f t="shared" si="84"/>
        <v>702</v>
      </c>
      <c r="H372" s="14" t="s">
        <v>471</v>
      </c>
      <c r="I372" s="53" t="str">
        <f t="shared" si="81"/>
        <v>FF19_5</v>
      </c>
    </row>
    <row r="373" spans="1:9" s="3" customFormat="1" ht="38.25" x14ac:dyDescent="0.25">
      <c r="A373" s="53" t="s">
        <v>533</v>
      </c>
      <c r="B373" s="57" t="str">
        <f>A373&amp;".In the past 6 months, have you ever experienced any of the following when using a bank account? "&amp;Other!N7</f>
        <v>FF19.6.In the past 6 months, have you ever experienced any of the following when using a bank account? Could not use my bank account because of system outages (online)</v>
      </c>
      <c r="C373" s="57" t="s">
        <v>142</v>
      </c>
      <c r="D373" s="53" t="s">
        <v>38</v>
      </c>
      <c r="E373" s="53">
        <v>1</v>
      </c>
      <c r="F373" s="53">
        <f t="shared" si="83"/>
        <v>703</v>
      </c>
      <c r="G373" s="53">
        <f t="shared" si="84"/>
        <v>703</v>
      </c>
      <c r="H373" s="14" t="s">
        <v>471</v>
      </c>
      <c r="I373" s="53" t="str">
        <f t="shared" si="81"/>
        <v>FF19_6</v>
      </c>
    </row>
    <row r="374" spans="1:9" s="3" customFormat="1" ht="38.25" x14ac:dyDescent="0.25">
      <c r="A374" s="53" t="s">
        <v>534</v>
      </c>
      <c r="B374" s="57" t="str">
        <f>A374&amp;".In the past 6 months, have you ever experienced any of the following when using a bank account? "&amp;Other!N8</f>
        <v>FF19.7.In the past 6 months, have you ever experienced any of the following when using a bank account? Could not use my bank account because of system outages (offline)</v>
      </c>
      <c r="C374" s="57" t="s">
        <v>142</v>
      </c>
      <c r="D374" s="53" t="s">
        <v>38</v>
      </c>
      <c r="E374" s="53">
        <v>1</v>
      </c>
      <c r="F374" s="53">
        <f t="shared" si="83"/>
        <v>704</v>
      </c>
      <c r="G374" s="53">
        <f t="shared" si="84"/>
        <v>704</v>
      </c>
      <c r="H374" s="14" t="s">
        <v>471</v>
      </c>
      <c r="I374" s="53" t="str">
        <f t="shared" si="81"/>
        <v>FF19_7</v>
      </c>
    </row>
    <row r="375" spans="1:9" ht="25.5" x14ac:dyDescent="0.25">
      <c r="A375" s="53" t="s">
        <v>535</v>
      </c>
      <c r="B375" s="57" t="str">
        <f>A375&amp;".In the past 6 months, have you ever experienced any of the following when using a bank account? "&amp;Other!N9</f>
        <v>FF19.8.In the past 6 months, have you ever experienced any of the following when using a bank account? A scam asking for your bank details or information</v>
      </c>
      <c r="C375" s="57" t="s">
        <v>142</v>
      </c>
      <c r="D375" s="53" t="s">
        <v>38</v>
      </c>
      <c r="E375" s="53">
        <v>1</v>
      </c>
      <c r="F375" s="53">
        <f t="shared" si="83"/>
        <v>705</v>
      </c>
      <c r="G375" s="53">
        <f t="shared" si="84"/>
        <v>705</v>
      </c>
      <c r="H375" s="14" t="s">
        <v>471</v>
      </c>
      <c r="I375" s="53" t="str">
        <f t="shared" si="81"/>
        <v>FF19_8</v>
      </c>
    </row>
    <row r="376" spans="1:9" ht="38.25" x14ac:dyDescent="0.25">
      <c r="A376" s="53" t="s">
        <v>536</v>
      </c>
      <c r="B376" s="57" t="str">
        <f>A376&amp;".In the past 6 months, have you ever experienced any of the following when using a bank account? "&amp;Other!N10</f>
        <v>FF19.9.In the past 6 months, have you ever experienced any of the following when using a bank account? Paid an extra fee at a bank branch, such as fee paid to a security guard</v>
      </c>
      <c r="C376" s="57" t="s">
        <v>142</v>
      </c>
      <c r="D376" s="53" t="s">
        <v>38</v>
      </c>
      <c r="E376" s="53">
        <v>1</v>
      </c>
      <c r="F376" s="53">
        <f t="shared" si="83"/>
        <v>706</v>
      </c>
      <c r="G376" s="53">
        <f t="shared" si="84"/>
        <v>706</v>
      </c>
      <c r="H376" s="14" t="s">
        <v>471</v>
      </c>
      <c r="I376" s="53" t="str">
        <f t="shared" si="81"/>
        <v>FF19_9</v>
      </c>
    </row>
    <row r="377" spans="1:9" ht="25.5" x14ac:dyDescent="0.25">
      <c r="A377" s="87" t="s">
        <v>537</v>
      </c>
      <c r="B377" s="88" t="s">
        <v>538</v>
      </c>
      <c r="C377" s="9" t="s">
        <v>142</v>
      </c>
      <c r="D377" s="54" t="s">
        <v>38</v>
      </c>
      <c r="E377" s="53">
        <v>1</v>
      </c>
      <c r="F377" s="53">
        <f t="shared" si="83"/>
        <v>707</v>
      </c>
      <c r="G377" s="53">
        <f t="shared" si="84"/>
        <v>707</v>
      </c>
      <c r="H377" s="89" t="s">
        <v>539</v>
      </c>
      <c r="I377" s="53" t="str">
        <f t="shared" si="81"/>
        <v>FF20</v>
      </c>
    </row>
    <row r="378" spans="1:9" x14ac:dyDescent="0.25">
      <c r="A378" s="121" t="s">
        <v>540</v>
      </c>
      <c r="B378" s="122" t="s">
        <v>3</v>
      </c>
      <c r="C378" s="122" t="s">
        <v>3</v>
      </c>
      <c r="D378" s="122" t="s">
        <v>3</v>
      </c>
      <c r="E378" s="122" t="s">
        <v>3</v>
      </c>
      <c r="F378" s="122" t="s">
        <v>3</v>
      </c>
      <c r="G378" s="122" t="s">
        <v>3</v>
      </c>
      <c r="H378" s="122" t="s">
        <v>3</v>
      </c>
      <c r="I378" s="123" t="s">
        <v>3</v>
      </c>
    </row>
    <row r="379" spans="1:9" s="3" customFormat="1" x14ac:dyDescent="0.25">
      <c r="A379" s="121" t="s">
        <v>541</v>
      </c>
      <c r="B379" s="122" t="s">
        <v>451</v>
      </c>
      <c r="C379" s="122" t="s">
        <v>451</v>
      </c>
      <c r="D379" s="122" t="s">
        <v>451</v>
      </c>
      <c r="E379" s="122" t="s">
        <v>451</v>
      </c>
      <c r="F379" s="122" t="s">
        <v>451</v>
      </c>
      <c r="G379" s="122" t="s">
        <v>451</v>
      </c>
      <c r="H379" s="122" t="s">
        <v>451</v>
      </c>
      <c r="I379" s="123" t="s">
        <v>451</v>
      </c>
    </row>
    <row r="380" spans="1:9" s="3" customFormat="1" x14ac:dyDescent="0.25">
      <c r="A380" s="51" t="s">
        <v>4</v>
      </c>
      <c r="B380" s="52" t="s">
        <v>5</v>
      </c>
      <c r="C380" s="52" t="s">
        <v>6</v>
      </c>
      <c r="D380" s="51" t="s">
        <v>7</v>
      </c>
      <c r="E380" s="52" t="s">
        <v>8</v>
      </c>
      <c r="F380" s="52" t="s">
        <v>9</v>
      </c>
      <c r="G380" s="52" t="s">
        <v>10</v>
      </c>
      <c r="H380" s="52" t="s">
        <v>11</v>
      </c>
      <c r="I380" s="51" t="s">
        <v>12</v>
      </c>
    </row>
    <row r="381" spans="1:9" s="3" customFormat="1" ht="25.5" x14ac:dyDescent="0.25">
      <c r="A381" s="53" t="s">
        <v>542</v>
      </c>
      <c r="B381" s="57" t="s">
        <v>543</v>
      </c>
      <c r="C381" s="57" t="s">
        <v>142</v>
      </c>
      <c r="D381" s="53" t="s">
        <v>38</v>
      </c>
      <c r="E381" s="53">
        <v>1</v>
      </c>
      <c r="F381" s="53">
        <f>G377+1</f>
        <v>708</v>
      </c>
      <c r="G381" s="53">
        <f>G377+E381</f>
        <v>708</v>
      </c>
      <c r="H381" s="14" t="s">
        <v>17</v>
      </c>
      <c r="I381" s="53" t="s">
        <v>542</v>
      </c>
    </row>
    <row r="382" spans="1:9" s="3" customFormat="1" ht="25.5" x14ac:dyDescent="0.25">
      <c r="A382" s="53" t="s">
        <v>544</v>
      </c>
      <c r="B382" s="57" t="str">
        <f>A382&amp;".Please tell me the names of any mobile money services that you are aware of? Spontaneous recall: " &amp;'brand name'!C2</f>
        <v>MM2.1.Please tell me the names of any mobile money services that you are aware of? Spontaneous recall: BBM Money</v>
      </c>
      <c r="C382" s="57" t="s">
        <v>142</v>
      </c>
      <c r="D382" s="53" t="s">
        <v>38</v>
      </c>
      <c r="E382" s="53">
        <v>1</v>
      </c>
      <c r="F382" s="53">
        <f>G381+1</f>
        <v>709</v>
      </c>
      <c r="G382" s="53">
        <f>G381+E382</f>
        <v>709</v>
      </c>
      <c r="H382" s="14" t="s">
        <v>17</v>
      </c>
      <c r="I382" s="53" t="str">
        <f t="shared" ref="I382:I445" si="85">SUBSTITUTE(A382,".","_")</f>
        <v>MM2_1</v>
      </c>
    </row>
    <row r="383" spans="1:9" s="3" customFormat="1" ht="25.5" x14ac:dyDescent="0.25">
      <c r="A383" s="53" t="s">
        <v>545</v>
      </c>
      <c r="B383" s="57" t="str">
        <f>A383&amp;".Please tell me the names of any mobile money services that you are aware of? Spontaneous recall: " &amp;'brand name'!C3</f>
        <v>MM2.2.Please tell me the names of any mobile money services that you are aware of? Spontaneous recall: Dompetku</v>
      </c>
      <c r="C383" s="57" t="s">
        <v>142</v>
      </c>
      <c r="D383" s="53" t="s">
        <v>38</v>
      </c>
      <c r="E383" s="53">
        <v>1</v>
      </c>
      <c r="F383" s="53">
        <f>G382+1</f>
        <v>710</v>
      </c>
      <c r="G383" s="53">
        <f>G382+E383</f>
        <v>710</v>
      </c>
      <c r="H383" s="14" t="s">
        <v>17</v>
      </c>
      <c r="I383" s="53" t="str">
        <f t="shared" si="85"/>
        <v>MM2_2</v>
      </c>
    </row>
    <row r="384" spans="1:9" s="3" customFormat="1" ht="25.5" x14ac:dyDescent="0.25">
      <c r="A384" s="53" t="s">
        <v>546</v>
      </c>
      <c r="B384" s="57" t="str">
        <f>A384&amp;".Please tell me the names of any mobile money services that you are aware of? Spontaneous recall: " &amp;'brand name'!C4</f>
        <v>MM2.3.Please tell me the names of any mobile money services that you are aware of? Spontaneous recall: E-Cash</v>
      </c>
      <c r="C384" s="57" t="s">
        <v>142</v>
      </c>
      <c r="D384" s="53" t="s">
        <v>38</v>
      </c>
      <c r="E384" s="53">
        <v>1</v>
      </c>
      <c r="F384" s="53">
        <f t="shared" ref="F384:F398" si="86">G383+1</f>
        <v>711</v>
      </c>
      <c r="G384" s="53">
        <f>G383+E384</f>
        <v>711</v>
      </c>
      <c r="H384" s="14" t="s">
        <v>17</v>
      </c>
      <c r="I384" s="53" t="str">
        <f t="shared" si="85"/>
        <v>MM2_3</v>
      </c>
    </row>
    <row r="385" spans="1:9" s="3" customFormat="1" ht="25.5" x14ac:dyDescent="0.25">
      <c r="A385" s="53" t="s">
        <v>547</v>
      </c>
      <c r="B385" s="57" t="str">
        <f>A385&amp;".Please tell me the names of any mobile money services that you are aware of? Spontaneous recall: " &amp;'brand name'!C5</f>
        <v>MM2.4.Please tell me the names of any mobile money services that you are aware of? Spontaneous recall: MoCash</v>
      </c>
      <c r="C385" s="57" t="s">
        <v>142</v>
      </c>
      <c r="D385" s="53" t="s">
        <v>38</v>
      </c>
      <c r="E385" s="53">
        <v>1</v>
      </c>
      <c r="F385" s="53">
        <f t="shared" si="86"/>
        <v>712</v>
      </c>
      <c r="G385" s="53">
        <f>G384+E385</f>
        <v>712</v>
      </c>
      <c r="H385" s="14" t="s">
        <v>17</v>
      </c>
      <c r="I385" s="53" t="str">
        <f t="shared" si="85"/>
        <v>MM2_4</v>
      </c>
    </row>
    <row r="386" spans="1:9" s="3" customFormat="1" ht="25.5" x14ac:dyDescent="0.25">
      <c r="A386" s="53" t="s">
        <v>548</v>
      </c>
      <c r="B386" s="57" t="str">
        <f>A386&amp;".Please tell me the names of any mobile money services that you are aware of? Spontaneous recall: " &amp;'brand name'!C6</f>
        <v>MM2.5.Please tell me the names of any mobile money services that you are aware of? Spontaneous recall: Rekening Ponsel</v>
      </c>
      <c r="C386" s="57" t="s">
        <v>142</v>
      </c>
      <c r="D386" s="53" t="s">
        <v>38</v>
      </c>
      <c r="E386" s="53">
        <v>1</v>
      </c>
      <c r="F386" s="53">
        <f t="shared" si="86"/>
        <v>713</v>
      </c>
      <c r="G386" s="53">
        <f>G385+E386</f>
        <v>713</v>
      </c>
      <c r="H386" s="14" t="s">
        <v>17</v>
      </c>
      <c r="I386" s="53" t="str">
        <f t="shared" si="85"/>
        <v>MM2_5</v>
      </c>
    </row>
    <row r="387" spans="1:9" s="3" customFormat="1" ht="25.5" x14ac:dyDescent="0.25">
      <c r="A387" s="53" t="s">
        <v>549</v>
      </c>
      <c r="B387" s="57" t="str">
        <f>A387&amp;".Please tell me the names of any mobile money services that you are aware of? Spontaneous recall: " &amp;'brand name'!C7</f>
        <v>MM2.6.Please tell me the names of any mobile money services that you are aware of? Spontaneous recall: Skye</v>
      </c>
      <c r="C387" s="57" t="s">
        <v>142</v>
      </c>
      <c r="D387" s="53" t="s">
        <v>38</v>
      </c>
      <c r="E387" s="53">
        <v>1</v>
      </c>
      <c r="F387" s="53">
        <f t="shared" si="86"/>
        <v>714</v>
      </c>
      <c r="G387" s="53">
        <f t="shared" ref="G387:G392" si="87">G386+E387</f>
        <v>714</v>
      </c>
      <c r="H387" s="14" t="s">
        <v>17</v>
      </c>
      <c r="I387" s="53" t="str">
        <f t="shared" si="85"/>
        <v>MM2_6</v>
      </c>
    </row>
    <row r="388" spans="1:9" s="3" customFormat="1" ht="25.5" x14ac:dyDescent="0.25">
      <c r="A388" s="53" t="s">
        <v>550</v>
      </c>
      <c r="B388" s="57" t="str">
        <f>A388&amp;".Please tell me the names of any mobile money services that you are aware of? Spontaneous recall: " &amp;'brand name'!C8</f>
        <v>MM2.7.Please tell me the names of any mobile money services that you are aware of? Spontaneous recall: T-Cash</v>
      </c>
      <c r="C388" s="57" t="s">
        <v>142</v>
      </c>
      <c r="D388" s="53" t="s">
        <v>38</v>
      </c>
      <c r="E388" s="53">
        <v>1</v>
      </c>
      <c r="F388" s="53">
        <f t="shared" si="86"/>
        <v>715</v>
      </c>
      <c r="G388" s="53">
        <f t="shared" si="87"/>
        <v>715</v>
      </c>
      <c r="H388" s="14" t="s">
        <v>17</v>
      </c>
      <c r="I388" s="53" t="str">
        <f t="shared" si="85"/>
        <v>MM2_7</v>
      </c>
    </row>
    <row r="389" spans="1:9" s="3" customFormat="1" ht="25.5" x14ac:dyDescent="0.25">
      <c r="A389" s="53" t="s">
        <v>551</v>
      </c>
      <c r="B389" s="57" t="str">
        <f>A389&amp;".Please tell me the names of any mobile money services that you are aware of? Spontaneous recall: " &amp;'brand name'!C9</f>
        <v>MM2.8.Please tell me the names of any mobile money services that you are aware of? Spontaneous recall: XL Tunai</v>
      </c>
      <c r="C389" s="57" t="s">
        <v>142</v>
      </c>
      <c r="D389" s="53" t="s">
        <v>38</v>
      </c>
      <c r="E389" s="53">
        <v>1</v>
      </c>
      <c r="F389" s="53">
        <f t="shared" si="86"/>
        <v>716</v>
      </c>
      <c r="G389" s="53">
        <f t="shared" si="87"/>
        <v>716</v>
      </c>
      <c r="H389" s="14" t="s">
        <v>17</v>
      </c>
      <c r="I389" s="53" t="str">
        <f t="shared" si="85"/>
        <v>MM2_8</v>
      </c>
    </row>
    <row r="390" spans="1:9" s="3" customFormat="1" ht="25.5" x14ac:dyDescent="0.25">
      <c r="A390" s="53" t="s">
        <v>552</v>
      </c>
      <c r="B390" s="57" t="str">
        <f>A390&amp;".Please tell me the names of any mobile money services that you are aware of? Spontaneous recall: " &amp;'brand name'!C10</f>
        <v>MM2.9.Please tell me the names of any mobile money services that you are aware of? Spontaneous recall: Sakuku</v>
      </c>
      <c r="C390" s="57" t="s">
        <v>142</v>
      </c>
      <c r="D390" s="53" t="s">
        <v>38</v>
      </c>
      <c r="E390" s="53">
        <v>1</v>
      </c>
      <c r="F390" s="53">
        <f t="shared" si="86"/>
        <v>717</v>
      </c>
      <c r="G390" s="53">
        <f t="shared" si="87"/>
        <v>717</v>
      </c>
      <c r="H390" s="14" t="s">
        <v>17</v>
      </c>
      <c r="I390" s="53" t="str">
        <f t="shared" si="85"/>
        <v>MM2_9</v>
      </c>
    </row>
    <row r="391" spans="1:9" s="3" customFormat="1" ht="25.5" x14ac:dyDescent="0.25">
      <c r="A391" s="53" t="s">
        <v>553</v>
      </c>
      <c r="B391" s="57" t="str">
        <f>A391&amp;".Please tell me the names of any mobile money services that you are aware of? Spontaneous recall: " &amp;'brand name'!C11</f>
        <v>MM2.10.Please tell me the names of any mobile money services that you are aware of? Spontaneous recall: True Money</v>
      </c>
      <c r="C391" s="57" t="s">
        <v>142</v>
      </c>
      <c r="D391" s="53" t="s">
        <v>38</v>
      </c>
      <c r="E391" s="53">
        <v>1</v>
      </c>
      <c r="F391" s="53">
        <f t="shared" si="86"/>
        <v>718</v>
      </c>
      <c r="G391" s="53">
        <f t="shared" si="87"/>
        <v>718</v>
      </c>
      <c r="H391" s="14" t="s">
        <v>17</v>
      </c>
      <c r="I391" s="53" t="str">
        <f t="shared" si="85"/>
        <v>MM2_10</v>
      </c>
    </row>
    <row r="392" spans="1:9" s="3" customFormat="1" ht="25.5" x14ac:dyDescent="0.25">
      <c r="A392" s="53" t="s">
        <v>2369</v>
      </c>
      <c r="B392" s="57" t="str">
        <f>A392&amp;".Please tell me the names of any mobile money services that you are aware of? Spontaneous recall: " &amp;'brand name'!C12</f>
        <v>MM2.11.Please tell me the names of any mobile money services that you are aware of? Spontaneous recall: T-Bank</v>
      </c>
      <c r="C392" s="57" t="s">
        <v>142</v>
      </c>
      <c r="D392" s="53" t="s">
        <v>38</v>
      </c>
      <c r="E392" s="53">
        <v>1</v>
      </c>
      <c r="F392" s="53">
        <f t="shared" si="86"/>
        <v>719</v>
      </c>
      <c r="G392" s="53">
        <f t="shared" si="87"/>
        <v>719</v>
      </c>
      <c r="H392" s="14" t="s">
        <v>17</v>
      </c>
      <c r="I392" s="53" t="str">
        <f t="shared" si="85"/>
        <v>MM2_11</v>
      </c>
    </row>
    <row r="393" spans="1:9" s="3" customFormat="1" ht="25.5" x14ac:dyDescent="0.25">
      <c r="A393" s="53" t="s">
        <v>554</v>
      </c>
      <c r="B393" s="57" t="str">
        <f>A393&amp;".Please tell me the names of any mobile money services that you are aware of? Spontaneous recall: " &amp;'brand name'!C13</f>
        <v>MM2.96.Please tell me the names of any mobile money services that you are aware of? Spontaneous recall: Other(Specify)</v>
      </c>
      <c r="C393" s="57" t="s">
        <v>142</v>
      </c>
      <c r="D393" s="53" t="s">
        <v>38</v>
      </c>
      <c r="E393" s="53">
        <v>1</v>
      </c>
      <c r="F393" s="53">
        <f t="shared" ref="F393:F394" si="88">G392+1</f>
        <v>720</v>
      </c>
      <c r="G393" s="53">
        <f t="shared" ref="G393:G394" si="89">G392+E393</f>
        <v>720</v>
      </c>
      <c r="H393" s="14" t="s">
        <v>17</v>
      </c>
      <c r="I393" s="53" t="str">
        <f t="shared" si="85"/>
        <v>MM2_96</v>
      </c>
    </row>
    <row r="394" spans="1:9" s="3" customFormat="1" ht="25.5" x14ac:dyDescent="0.25">
      <c r="A394" s="53" t="s">
        <v>555</v>
      </c>
      <c r="B394" s="57" t="str">
        <f>A394&amp;".Have you ever heard about the following mobile money services? Prompted recall: " &amp;'brand name'!C2</f>
        <v>MM3.1.Have you ever heard about the following mobile money services? Prompted recall: BBM Money</v>
      </c>
      <c r="C394" s="57" t="s">
        <v>142</v>
      </c>
      <c r="D394" s="53" t="s">
        <v>38</v>
      </c>
      <c r="E394" s="53">
        <v>1</v>
      </c>
      <c r="F394" s="53">
        <f t="shared" si="88"/>
        <v>721</v>
      </c>
      <c r="G394" s="53">
        <f t="shared" si="89"/>
        <v>721</v>
      </c>
      <c r="H394" s="55" t="str">
        <f t="shared" ref="H394:H405" si="90">"IF "&amp;I382&amp;"=2"</f>
        <v>IF MM2_1=2</v>
      </c>
      <c r="I394" s="53" t="str">
        <f t="shared" si="85"/>
        <v>MM3_1</v>
      </c>
    </row>
    <row r="395" spans="1:9" s="3" customFormat="1" ht="25.5" x14ac:dyDescent="0.25">
      <c r="A395" s="53" t="s">
        <v>556</v>
      </c>
      <c r="B395" s="57" t="str">
        <f>A395&amp;".Have you ever heard about the following mobile money services? Prompted recall: " &amp;'brand name'!C3</f>
        <v>MM3.2.Have you ever heard about the following mobile money services? Prompted recall: Dompetku</v>
      </c>
      <c r="C395" s="57" t="s">
        <v>142</v>
      </c>
      <c r="D395" s="53" t="s">
        <v>38</v>
      </c>
      <c r="E395" s="53">
        <v>1</v>
      </c>
      <c r="F395" s="53">
        <f t="shared" si="86"/>
        <v>722</v>
      </c>
      <c r="G395" s="53">
        <f>G394+E395</f>
        <v>722</v>
      </c>
      <c r="H395" s="55" t="str">
        <f t="shared" si="90"/>
        <v>IF MM2_2=2</v>
      </c>
      <c r="I395" s="53" t="str">
        <f t="shared" si="85"/>
        <v>MM3_2</v>
      </c>
    </row>
    <row r="396" spans="1:9" s="3" customFormat="1" ht="25.5" x14ac:dyDescent="0.25">
      <c r="A396" s="53" t="s">
        <v>557</v>
      </c>
      <c r="B396" s="57" t="str">
        <f>A396&amp;".Have you ever heard about the following mobile money services? Prompted recall: " &amp;'brand name'!C4</f>
        <v>MM3.3.Have you ever heard about the following mobile money services? Prompted recall: E-Cash</v>
      </c>
      <c r="C396" s="57" t="s">
        <v>142</v>
      </c>
      <c r="D396" s="53" t="s">
        <v>38</v>
      </c>
      <c r="E396" s="53">
        <v>1</v>
      </c>
      <c r="F396" s="53">
        <f t="shared" si="86"/>
        <v>723</v>
      </c>
      <c r="G396" s="53">
        <f>G395+E396</f>
        <v>723</v>
      </c>
      <c r="H396" s="55" t="str">
        <f t="shared" si="90"/>
        <v>IF MM2_3=2</v>
      </c>
      <c r="I396" s="53" t="str">
        <f t="shared" si="85"/>
        <v>MM3_3</v>
      </c>
    </row>
    <row r="397" spans="1:9" s="3" customFormat="1" ht="25.5" x14ac:dyDescent="0.25">
      <c r="A397" s="53" t="s">
        <v>558</v>
      </c>
      <c r="B397" s="57" t="str">
        <f>A397&amp;".Have you ever heard about the following mobile money services? Prompted recall: " &amp;'brand name'!C5</f>
        <v>MM3.4.Have you ever heard about the following mobile money services? Prompted recall: MoCash</v>
      </c>
      <c r="C397" s="57" t="s">
        <v>142</v>
      </c>
      <c r="D397" s="53" t="s">
        <v>38</v>
      </c>
      <c r="E397" s="53">
        <v>1</v>
      </c>
      <c r="F397" s="53">
        <f t="shared" si="86"/>
        <v>724</v>
      </c>
      <c r="G397" s="53">
        <f>G396+E397</f>
        <v>724</v>
      </c>
      <c r="H397" s="55" t="str">
        <f t="shared" si="90"/>
        <v>IF MM2_4=2</v>
      </c>
      <c r="I397" s="53" t="str">
        <f t="shared" si="85"/>
        <v>MM3_4</v>
      </c>
    </row>
    <row r="398" spans="1:9" s="3" customFormat="1" ht="25.5" x14ac:dyDescent="0.25">
      <c r="A398" s="53" t="s">
        <v>559</v>
      </c>
      <c r="B398" s="57" t="str">
        <f>A398&amp;".Have you ever heard about the following mobile money services? Prompted recall: " &amp;'brand name'!C6</f>
        <v>MM3.5.Have you ever heard about the following mobile money services? Prompted recall: Rekening Ponsel</v>
      </c>
      <c r="C398" s="57" t="s">
        <v>142</v>
      </c>
      <c r="D398" s="53" t="s">
        <v>38</v>
      </c>
      <c r="E398" s="53">
        <v>1</v>
      </c>
      <c r="F398" s="53">
        <f t="shared" si="86"/>
        <v>725</v>
      </c>
      <c r="G398" s="53">
        <f>G397+E398</f>
        <v>725</v>
      </c>
      <c r="H398" s="55" t="str">
        <f t="shared" si="90"/>
        <v>IF MM2_5=2</v>
      </c>
      <c r="I398" s="53" t="str">
        <f t="shared" si="85"/>
        <v>MM3_5</v>
      </c>
    </row>
    <row r="399" spans="1:9" s="3" customFormat="1" ht="25.5" x14ac:dyDescent="0.25">
      <c r="A399" s="53" t="s">
        <v>560</v>
      </c>
      <c r="B399" s="57" t="str">
        <f>A399&amp;".Have you ever heard about the following mobile money services? Prompted recall: " &amp;'brand name'!C7</f>
        <v>MM3.6.Have you ever heard about the following mobile money services? Prompted recall: Skye</v>
      </c>
      <c r="C399" s="57" t="s">
        <v>142</v>
      </c>
      <c r="D399" s="53" t="s">
        <v>38</v>
      </c>
      <c r="E399" s="53">
        <v>1</v>
      </c>
      <c r="F399" s="53">
        <f t="shared" ref="F399:F404" si="91">G398+1</f>
        <v>726</v>
      </c>
      <c r="G399" s="53">
        <f t="shared" ref="G399:G404" si="92">G398+E399</f>
        <v>726</v>
      </c>
      <c r="H399" s="55" t="str">
        <f t="shared" si="90"/>
        <v>IF MM2_6=2</v>
      </c>
      <c r="I399" s="53" t="str">
        <f t="shared" si="85"/>
        <v>MM3_6</v>
      </c>
    </row>
    <row r="400" spans="1:9" s="3" customFormat="1" ht="25.5" x14ac:dyDescent="0.25">
      <c r="A400" s="53" t="s">
        <v>561</v>
      </c>
      <c r="B400" s="57" t="str">
        <f>A400&amp;".Have you ever heard about the following mobile money services? Prompted recall: " &amp;'brand name'!C8</f>
        <v>MM3.7.Have you ever heard about the following mobile money services? Prompted recall: T-Cash</v>
      </c>
      <c r="C400" s="57" t="s">
        <v>142</v>
      </c>
      <c r="D400" s="53" t="s">
        <v>38</v>
      </c>
      <c r="E400" s="53">
        <v>1</v>
      </c>
      <c r="F400" s="53">
        <f t="shared" si="91"/>
        <v>727</v>
      </c>
      <c r="G400" s="53">
        <f t="shared" si="92"/>
        <v>727</v>
      </c>
      <c r="H400" s="55" t="str">
        <f t="shared" si="90"/>
        <v>IF MM2_7=2</v>
      </c>
      <c r="I400" s="53" t="str">
        <f t="shared" si="85"/>
        <v>MM3_7</v>
      </c>
    </row>
    <row r="401" spans="1:9" s="3" customFormat="1" ht="25.5" x14ac:dyDescent="0.25">
      <c r="A401" s="53" t="s">
        <v>562</v>
      </c>
      <c r="B401" s="57" t="str">
        <f>A401&amp;".Have you ever heard about the following mobile money services? Prompted recall: " &amp;'brand name'!C9</f>
        <v>MM3.8.Have you ever heard about the following mobile money services? Prompted recall: XL Tunai</v>
      </c>
      <c r="C401" s="57" t="s">
        <v>142</v>
      </c>
      <c r="D401" s="53" t="s">
        <v>38</v>
      </c>
      <c r="E401" s="53">
        <v>1</v>
      </c>
      <c r="F401" s="53">
        <f t="shared" si="91"/>
        <v>728</v>
      </c>
      <c r="G401" s="53">
        <f t="shared" si="92"/>
        <v>728</v>
      </c>
      <c r="H401" s="55" t="str">
        <f t="shared" si="90"/>
        <v>IF MM2_8=2</v>
      </c>
      <c r="I401" s="53" t="str">
        <f t="shared" si="85"/>
        <v>MM3_8</v>
      </c>
    </row>
    <row r="402" spans="1:9" s="3" customFormat="1" ht="25.5" x14ac:dyDescent="0.25">
      <c r="A402" s="53" t="s">
        <v>563</v>
      </c>
      <c r="B402" s="57" t="str">
        <f>A402&amp;".Have you ever heard about the following mobile money services? Prompted recall: " &amp;'brand name'!C10</f>
        <v>MM3.9.Have you ever heard about the following mobile money services? Prompted recall: Sakuku</v>
      </c>
      <c r="C402" s="57" t="s">
        <v>142</v>
      </c>
      <c r="D402" s="53" t="s">
        <v>38</v>
      </c>
      <c r="E402" s="53">
        <v>1</v>
      </c>
      <c r="F402" s="53">
        <f t="shared" si="91"/>
        <v>729</v>
      </c>
      <c r="G402" s="53">
        <f t="shared" si="92"/>
        <v>729</v>
      </c>
      <c r="H402" s="55" t="str">
        <f t="shared" si="90"/>
        <v>IF MM2_9=2</v>
      </c>
      <c r="I402" s="53" t="str">
        <f t="shared" si="85"/>
        <v>MM3_9</v>
      </c>
    </row>
    <row r="403" spans="1:9" s="3" customFormat="1" ht="25.5" x14ac:dyDescent="0.25">
      <c r="A403" s="53" t="s">
        <v>564</v>
      </c>
      <c r="B403" s="57" t="str">
        <f>A403&amp;".Have you ever heard about the following mobile money services? Prompted recall: " &amp;'brand name'!C11</f>
        <v>MM3.10.Have you ever heard about the following mobile money services? Prompted recall: True Money</v>
      </c>
      <c r="C403" s="57" t="s">
        <v>142</v>
      </c>
      <c r="D403" s="53" t="s">
        <v>38</v>
      </c>
      <c r="E403" s="53">
        <v>1</v>
      </c>
      <c r="F403" s="53">
        <f t="shared" si="91"/>
        <v>730</v>
      </c>
      <c r="G403" s="53">
        <f t="shared" si="92"/>
        <v>730</v>
      </c>
      <c r="H403" s="55" t="str">
        <f t="shared" si="90"/>
        <v>IF MM2_10=2</v>
      </c>
      <c r="I403" s="53" t="str">
        <f t="shared" si="85"/>
        <v>MM3_10</v>
      </c>
    </row>
    <row r="404" spans="1:9" s="3" customFormat="1" ht="25.5" x14ac:dyDescent="0.25">
      <c r="A404" s="53" t="s">
        <v>2370</v>
      </c>
      <c r="B404" s="57" t="str">
        <f>A404&amp;".Have you ever heard about the following mobile money services? Prompted recall: " &amp;'brand name'!C12</f>
        <v>MM3.11.Have you ever heard about the following mobile money services? Prompted recall: T-Bank</v>
      </c>
      <c r="C404" s="57" t="s">
        <v>142</v>
      </c>
      <c r="D404" s="53" t="s">
        <v>38</v>
      </c>
      <c r="E404" s="53">
        <v>1</v>
      </c>
      <c r="F404" s="53">
        <f t="shared" si="91"/>
        <v>731</v>
      </c>
      <c r="G404" s="53">
        <f t="shared" si="92"/>
        <v>731</v>
      </c>
      <c r="H404" s="55" t="str">
        <f t="shared" si="90"/>
        <v>IF MM2_11=2</v>
      </c>
      <c r="I404" s="53" t="str">
        <f t="shared" si="85"/>
        <v>MM3_11</v>
      </c>
    </row>
    <row r="405" spans="1:9" s="3" customFormat="1" ht="25.5" x14ac:dyDescent="0.25">
      <c r="A405" s="53" t="s">
        <v>565</v>
      </c>
      <c r="B405" s="57" t="str">
        <f>A405&amp;".Have you ever heard about the following mobile money services? Prompted recall: " &amp;'brand name'!C13</f>
        <v>MM3.96.Have you ever heard about the following mobile money services? Prompted recall: Other(Specify)</v>
      </c>
      <c r="C405" s="57" t="s">
        <v>142</v>
      </c>
      <c r="D405" s="53" t="s">
        <v>38</v>
      </c>
      <c r="E405" s="53">
        <v>1</v>
      </c>
      <c r="F405" s="53">
        <f t="shared" ref="F405:F406" si="93">G404+1</f>
        <v>732</v>
      </c>
      <c r="G405" s="53">
        <f t="shared" ref="G405:G406" si="94">G404+E405</f>
        <v>732</v>
      </c>
      <c r="H405" s="55" t="str">
        <f t="shared" si="90"/>
        <v>IF MM2_96=2</v>
      </c>
      <c r="I405" s="53" t="str">
        <f t="shared" si="85"/>
        <v>MM3_96</v>
      </c>
    </row>
    <row r="406" spans="1:9" s="3" customFormat="1" ht="25.5" x14ac:dyDescent="0.25">
      <c r="A406" s="53" t="s">
        <v>566</v>
      </c>
      <c r="B406" s="57" t="str">
        <f>A406&amp;".Have you ever used this mobile money service for any financial activity?"&amp;'brand name'!C2</f>
        <v>MM4.1.Have you ever used this mobile money service for any financial activity?BBM Money</v>
      </c>
      <c r="C406" s="57" t="s">
        <v>142</v>
      </c>
      <c r="D406" s="53" t="s">
        <v>38</v>
      </c>
      <c r="E406" s="53">
        <v>1</v>
      </c>
      <c r="F406" s="53">
        <f t="shared" si="93"/>
        <v>733</v>
      </c>
      <c r="G406" s="53">
        <f t="shared" si="94"/>
        <v>733</v>
      </c>
      <c r="H406" s="14" t="str">
        <f t="shared" ref="H406:H417" si="95">"IF "&amp;I382&amp;"=1 OR "&amp;I394&amp;"=1"</f>
        <v>IF MM2_1=1 OR MM3_1=1</v>
      </c>
      <c r="I406" s="53" t="str">
        <f t="shared" si="85"/>
        <v>MM4_1</v>
      </c>
    </row>
    <row r="407" spans="1:9" s="3" customFormat="1" ht="25.5" x14ac:dyDescent="0.25">
      <c r="A407" s="53" t="s">
        <v>567</v>
      </c>
      <c r="B407" s="57" t="str">
        <f>A407&amp;".Have you ever used this mobile money service for any financial activity?"&amp;'brand name'!C3</f>
        <v>MM4.2.Have you ever used this mobile money service for any financial activity?Dompetku</v>
      </c>
      <c r="C407" s="57" t="s">
        <v>142</v>
      </c>
      <c r="D407" s="53" t="s">
        <v>38</v>
      </c>
      <c r="E407" s="53">
        <v>1</v>
      </c>
      <c r="F407" s="53">
        <f>G406+1</f>
        <v>734</v>
      </c>
      <c r="G407" s="53">
        <f>G406+E407</f>
        <v>734</v>
      </c>
      <c r="H407" s="14" t="str">
        <f t="shared" si="95"/>
        <v>IF MM2_2=1 OR MM3_2=1</v>
      </c>
      <c r="I407" s="53" t="str">
        <f t="shared" si="85"/>
        <v>MM4_2</v>
      </c>
    </row>
    <row r="408" spans="1:9" s="3" customFormat="1" ht="25.5" x14ac:dyDescent="0.25">
      <c r="A408" s="53" t="s">
        <v>568</v>
      </c>
      <c r="B408" s="57" t="str">
        <f>A408&amp;".Have you ever used this mobile money service for any financial activity?"&amp;'brand name'!C4</f>
        <v>MM4.3.Have you ever used this mobile money service for any financial activity?E-Cash</v>
      </c>
      <c r="C408" s="57" t="s">
        <v>142</v>
      </c>
      <c r="D408" s="53" t="s">
        <v>38</v>
      </c>
      <c r="E408" s="53">
        <v>1</v>
      </c>
      <c r="F408" s="53">
        <f>G407+1</f>
        <v>735</v>
      </c>
      <c r="G408" s="53">
        <f>G407+E408</f>
        <v>735</v>
      </c>
      <c r="H408" s="14" t="str">
        <f t="shared" si="95"/>
        <v>IF MM2_3=1 OR MM3_3=1</v>
      </c>
      <c r="I408" s="53" t="str">
        <f t="shared" si="85"/>
        <v>MM4_3</v>
      </c>
    </row>
    <row r="409" spans="1:9" s="3" customFormat="1" ht="25.5" x14ac:dyDescent="0.25">
      <c r="A409" s="53" t="s">
        <v>569</v>
      </c>
      <c r="B409" s="57" t="str">
        <f>A409&amp;".Have you ever used this mobile money service for any financial activity?"&amp;'brand name'!C5</f>
        <v>MM4.4.Have you ever used this mobile money service for any financial activity?MoCash</v>
      </c>
      <c r="C409" s="57" t="s">
        <v>142</v>
      </c>
      <c r="D409" s="53" t="s">
        <v>38</v>
      </c>
      <c r="E409" s="53">
        <v>1</v>
      </c>
      <c r="F409" s="53">
        <f>G408+1</f>
        <v>736</v>
      </c>
      <c r="G409" s="53">
        <f>G408+E409</f>
        <v>736</v>
      </c>
      <c r="H409" s="14" t="str">
        <f t="shared" si="95"/>
        <v>IF MM2_4=1 OR MM3_4=1</v>
      </c>
      <c r="I409" s="53" t="str">
        <f t="shared" si="85"/>
        <v>MM4_4</v>
      </c>
    </row>
    <row r="410" spans="1:9" s="3" customFormat="1" ht="25.5" x14ac:dyDescent="0.25">
      <c r="A410" s="53" t="s">
        <v>570</v>
      </c>
      <c r="B410" s="57" t="str">
        <f>A410&amp;".Have you ever used this mobile money service for any financial activity?"&amp;'brand name'!C6</f>
        <v>MM4.5.Have you ever used this mobile money service for any financial activity?Rekening Ponsel</v>
      </c>
      <c r="C410" s="57" t="s">
        <v>142</v>
      </c>
      <c r="D410" s="53" t="s">
        <v>38</v>
      </c>
      <c r="E410" s="53">
        <v>1</v>
      </c>
      <c r="F410" s="53">
        <f>G409+1</f>
        <v>737</v>
      </c>
      <c r="G410" s="53">
        <f>G409+E410</f>
        <v>737</v>
      </c>
      <c r="H410" s="14" t="str">
        <f t="shared" si="95"/>
        <v>IF MM2_5=1 OR MM3_5=1</v>
      </c>
      <c r="I410" s="53" t="str">
        <f t="shared" si="85"/>
        <v>MM4_5</v>
      </c>
    </row>
    <row r="411" spans="1:9" s="3" customFormat="1" ht="25.5" x14ac:dyDescent="0.25">
      <c r="A411" s="53" t="s">
        <v>571</v>
      </c>
      <c r="B411" s="57" t="str">
        <f>A411&amp;".Have you ever used this mobile money service for any financial activity?"&amp;'brand name'!C7</f>
        <v>MM4.6.Have you ever used this mobile money service for any financial activity?Skye</v>
      </c>
      <c r="C411" s="57" t="s">
        <v>142</v>
      </c>
      <c r="D411" s="53" t="s">
        <v>38</v>
      </c>
      <c r="E411" s="53">
        <v>1</v>
      </c>
      <c r="F411" s="53">
        <f t="shared" ref="F411:F418" si="96">G410+1</f>
        <v>738</v>
      </c>
      <c r="G411" s="53">
        <f t="shared" ref="G411:G418" si="97">G410+E411</f>
        <v>738</v>
      </c>
      <c r="H411" s="14" t="str">
        <f t="shared" si="95"/>
        <v>IF MM2_6=1 OR MM3_6=1</v>
      </c>
      <c r="I411" s="53" t="str">
        <f t="shared" si="85"/>
        <v>MM4_6</v>
      </c>
    </row>
    <row r="412" spans="1:9" s="3" customFormat="1" ht="25.5" x14ac:dyDescent="0.25">
      <c r="A412" s="53" t="s">
        <v>572</v>
      </c>
      <c r="B412" s="57" t="str">
        <f>A412&amp;".Have you ever used this mobile money service for any financial activity?"&amp;'brand name'!C8</f>
        <v>MM4.7.Have you ever used this mobile money service for any financial activity?T-Cash</v>
      </c>
      <c r="C412" s="57" t="s">
        <v>142</v>
      </c>
      <c r="D412" s="53" t="s">
        <v>38</v>
      </c>
      <c r="E412" s="53">
        <v>1</v>
      </c>
      <c r="F412" s="53">
        <f t="shared" si="96"/>
        <v>739</v>
      </c>
      <c r="G412" s="53">
        <f t="shared" si="97"/>
        <v>739</v>
      </c>
      <c r="H412" s="14" t="str">
        <f t="shared" si="95"/>
        <v>IF MM2_7=1 OR MM3_7=1</v>
      </c>
      <c r="I412" s="53" t="str">
        <f t="shared" si="85"/>
        <v>MM4_7</v>
      </c>
    </row>
    <row r="413" spans="1:9" s="3" customFormat="1" ht="25.5" x14ac:dyDescent="0.25">
      <c r="A413" s="53" t="s">
        <v>573</v>
      </c>
      <c r="B413" s="57" t="str">
        <f>A413&amp;".Have you ever used this mobile money service for any financial activity?"&amp;'brand name'!C9</f>
        <v>MM4.8.Have you ever used this mobile money service for any financial activity?XL Tunai</v>
      </c>
      <c r="C413" s="57" t="s">
        <v>142</v>
      </c>
      <c r="D413" s="53" t="s">
        <v>38</v>
      </c>
      <c r="E413" s="53">
        <v>1</v>
      </c>
      <c r="F413" s="53">
        <f t="shared" si="96"/>
        <v>740</v>
      </c>
      <c r="G413" s="53">
        <f t="shared" si="97"/>
        <v>740</v>
      </c>
      <c r="H413" s="14" t="str">
        <f t="shared" si="95"/>
        <v>IF MM2_8=1 OR MM3_8=1</v>
      </c>
      <c r="I413" s="53" t="str">
        <f t="shared" si="85"/>
        <v>MM4_8</v>
      </c>
    </row>
    <row r="414" spans="1:9" s="3" customFormat="1" ht="25.5" x14ac:dyDescent="0.25">
      <c r="A414" s="53" t="s">
        <v>574</v>
      </c>
      <c r="B414" s="57" t="str">
        <f>A414&amp;".Have you ever used this mobile money service for any financial activity?"&amp;'brand name'!C10</f>
        <v>MM4.9.Have you ever used this mobile money service for any financial activity?Sakuku</v>
      </c>
      <c r="C414" s="57" t="s">
        <v>142</v>
      </c>
      <c r="D414" s="53" t="s">
        <v>38</v>
      </c>
      <c r="E414" s="53">
        <v>1</v>
      </c>
      <c r="F414" s="53">
        <f t="shared" si="96"/>
        <v>741</v>
      </c>
      <c r="G414" s="53">
        <f t="shared" si="97"/>
        <v>741</v>
      </c>
      <c r="H414" s="14" t="str">
        <f t="shared" si="95"/>
        <v>IF MM2_9=1 OR MM3_9=1</v>
      </c>
      <c r="I414" s="53" t="str">
        <f t="shared" si="85"/>
        <v>MM4_9</v>
      </c>
    </row>
    <row r="415" spans="1:9" s="3" customFormat="1" ht="25.5" x14ac:dyDescent="0.25">
      <c r="A415" s="53" t="s">
        <v>575</v>
      </c>
      <c r="B415" s="57" t="str">
        <f>A415&amp;".Have you ever used this mobile money service for any financial activity?"&amp;'brand name'!C11</f>
        <v>MM4.10.Have you ever used this mobile money service for any financial activity?True Money</v>
      </c>
      <c r="C415" s="57" t="s">
        <v>142</v>
      </c>
      <c r="D415" s="53" t="s">
        <v>38</v>
      </c>
      <c r="E415" s="53">
        <v>1</v>
      </c>
      <c r="F415" s="53">
        <f t="shared" si="96"/>
        <v>742</v>
      </c>
      <c r="G415" s="53">
        <f t="shared" si="97"/>
        <v>742</v>
      </c>
      <c r="H415" s="14" t="str">
        <f t="shared" si="95"/>
        <v>IF MM2_10=1 OR MM3_10=1</v>
      </c>
      <c r="I415" s="53" t="str">
        <f t="shared" si="85"/>
        <v>MM4_10</v>
      </c>
    </row>
    <row r="416" spans="1:9" s="3" customFormat="1" ht="25.5" x14ac:dyDescent="0.25">
      <c r="A416" s="53" t="s">
        <v>2371</v>
      </c>
      <c r="B416" s="57" t="str">
        <f>A416&amp;".Have you ever used this mobile money service for any financial activity?"&amp;'brand name'!C12</f>
        <v>MM4.11.Have you ever used this mobile money service for any financial activity?T-Bank</v>
      </c>
      <c r="C416" s="57" t="s">
        <v>142</v>
      </c>
      <c r="D416" s="53" t="s">
        <v>38</v>
      </c>
      <c r="E416" s="53">
        <v>1</v>
      </c>
      <c r="F416" s="53">
        <f t="shared" ref="F416:F417" si="98">G415+1</f>
        <v>743</v>
      </c>
      <c r="G416" s="53">
        <f t="shared" ref="G416:G417" si="99">G415+E416</f>
        <v>743</v>
      </c>
      <c r="H416" s="14" t="str">
        <f t="shared" si="95"/>
        <v>IF MM2_11=1 OR MM3_11=1</v>
      </c>
      <c r="I416" s="53" t="str">
        <f t="shared" si="85"/>
        <v>MM4_11</v>
      </c>
    </row>
    <row r="417" spans="1:9" s="3" customFormat="1" ht="25.5" x14ac:dyDescent="0.25">
      <c r="A417" s="53" t="s">
        <v>576</v>
      </c>
      <c r="B417" s="57" t="str">
        <f>A417&amp;".Have you ever used this mobile money service for any financial activity?"&amp;'brand name'!C13</f>
        <v>MM4.96.Have you ever used this mobile money service for any financial activity?Other(Specify)</v>
      </c>
      <c r="C417" s="57" t="s">
        <v>142</v>
      </c>
      <c r="D417" s="53" t="s">
        <v>38</v>
      </c>
      <c r="E417" s="53">
        <v>1</v>
      </c>
      <c r="F417" s="53">
        <f t="shared" si="98"/>
        <v>744</v>
      </c>
      <c r="G417" s="53">
        <f t="shared" si="99"/>
        <v>744</v>
      </c>
      <c r="H417" s="14" t="str">
        <f t="shared" si="95"/>
        <v>IF MM2_96=1 OR MM3_96=1</v>
      </c>
      <c r="I417" s="53" t="str">
        <f t="shared" si="85"/>
        <v>MM4_96</v>
      </c>
    </row>
    <row r="418" spans="1:9" s="3" customFormat="1" ht="63.75" x14ac:dyDescent="0.25">
      <c r="A418" s="53" t="s">
        <v>577</v>
      </c>
      <c r="B418" s="90" t="str">
        <f>A418&amp;".Apart from today, when was the last time you conducted any financial activity with this mobile money service? "&amp;'brand name'!C2</f>
        <v>MM5.1.Apart from today, when was the last time you conducted any financial activity with this mobile money service? BBM Money</v>
      </c>
      <c r="C418" s="57" t="s">
        <v>578</v>
      </c>
      <c r="D418" s="53" t="s">
        <v>38</v>
      </c>
      <c r="E418" s="53">
        <v>1</v>
      </c>
      <c r="F418" s="53">
        <f t="shared" si="96"/>
        <v>745</v>
      </c>
      <c r="G418" s="53">
        <f t="shared" si="97"/>
        <v>745</v>
      </c>
      <c r="H418" s="14" t="str">
        <f t="shared" ref="H418:H429" si="100">"IF "&amp;I406&amp;"=1"</f>
        <v>IF MM4_1=1</v>
      </c>
      <c r="I418" s="53" t="str">
        <f t="shared" si="85"/>
        <v>MM5_1</v>
      </c>
    </row>
    <row r="419" spans="1:9" s="3" customFormat="1" ht="63.75" x14ac:dyDescent="0.25">
      <c r="A419" s="53" t="s">
        <v>579</v>
      </c>
      <c r="B419" s="90" t="str">
        <f>A419&amp;".Apart from today, when was the last time you conducted any financial activity with this mobile money service? "&amp;'brand name'!C3</f>
        <v>MM5.2.Apart from today, when was the last time you conducted any financial activity with this mobile money service? Dompetku</v>
      </c>
      <c r="C419" s="57" t="s">
        <v>578</v>
      </c>
      <c r="D419" s="53" t="s">
        <v>38</v>
      </c>
      <c r="E419" s="53">
        <v>1</v>
      </c>
      <c r="F419" s="53">
        <f>G418+1</f>
        <v>746</v>
      </c>
      <c r="G419" s="53">
        <f>G418+E419</f>
        <v>746</v>
      </c>
      <c r="H419" s="14" t="str">
        <f t="shared" si="100"/>
        <v>IF MM4_2=1</v>
      </c>
      <c r="I419" s="53" t="str">
        <f t="shared" si="85"/>
        <v>MM5_2</v>
      </c>
    </row>
    <row r="420" spans="1:9" s="3" customFormat="1" ht="63.75" x14ac:dyDescent="0.25">
      <c r="A420" s="53" t="s">
        <v>580</v>
      </c>
      <c r="B420" s="90" t="str">
        <f>A420&amp;".Apart from today, when was the last time you conducted any financial activity with this mobile money service? "&amp;'brand name'!C4</f>
        <v>MM5.3.Apart from today, when was the last time you conducted any financial activity with this mobile money service? E-Cash</v>
      </c>
      <c r="C420" s="57" t="s">
        <v>578</v>
      </c>
      <c r="D420" s="53" t="s">
        <v>38</v>
      </c>
      <c r="E420" s="53">
        <v>1</v>
      </c>
      <c r="F420" s="53">
        <f>G419+1</f>
        <v>747</v>
      </c>
      <c r="G420" s="53">
        <f>G419+E420</f>
        <v>747</v>
      </c>
      <c r="H420" s="14" t="str">
        <f t="shared" si="100"/>
        <v>IF MM4_3=1</v>
      </c>
      <c r="I420" s="53" t="str">
        <f t="shared" si="85"/>
        <v>MM5_3</v>
      </c>
    </row>
    <row r="421" spans="1:9" s="3" customFormat="1" ht="63.75" x14ac:dyDescent="0.25">
      <c r="A421" s="53" t="s">
        <v>581</v>
      </c>
      <c r="B421" s="90" t="str">
        <f>A421&amp;".Apart from today, when was the last time you conducted any financial activity with this mobile money service? "&amp;'brand name'!C5</f>
        <v>MM5.4.Apart from today, when was the last time you conducted any financial activity with this mobile money service? MoCash</v>
      </c>
      <c r="C421" s="57" t="s">
        <v>578</v>
      </c>
      <c r="D421" s="53" t="s">
        <v>38</v>
      </c>
      <c r="E421" s="53">
        <v>1</v>
      </c>
      <c r="F421" s="53">
        <f>G420+1</f>
        <v>748</v>
      </c>
      <c r="G421" s="53">
        <f>G420+E421</f>
        <v>748</v>
      </c>
      <c r="H421" s="14" t="str">
        <f t="shared" si="100"/>
        <v>IF MM4_4=1</v>
      </c>
      <c r="I421" s="53" t="str">
        <f t="shared" si="85"/>
        <v>MM5_4</v>
      </c>
    </row>
    <row r="422" spans="1:9" s="3" customFormat="1" ht="63.75" x14ac:dyDescent="0.25">
      <c r="A422" s="53" t="s">
        <v>582</v>
      </c>
      <c r="B422" s="90" t="str">
        <f>A422&amp;".Apart from today, when was the last time you conducted any financial activity with this mobile money service? "&amp;'brand name'!C6</f>
        <v>MM5.5.Apart from today, when was the last time you conducted any financial activity with this mobile money service? Rekening Ponsel</v>
      </c>
      <c r="C422" s="57" t="s">
        <v>578</v>
      </c>
      <c r="D422" s="53" t="s">
        <v>38</v>
      </c>
      <c r="E422" s="53">
        <v>1</v>
      </c>
      <c r="F422" s="53">
        <f>G421+1</f>
        <v>749</v>
      </c>
      <c r="G422" s="53">
        <f>G421+E422</f>
        <v>749</v>
      </c>
      <c r="H422" s="14" t="str">
        <f t="shared" si="100"/>
        <v>IF MM4_5=1</v>
      </c>
      <c r="I422" s="53" t="str">
        <f t="shared" si="85"/>
        <v>MM5_5</v>
      </c>
    </row>
    <row r="423" spans="1:9" s="3" customFormat="1" ht="63.75" x14ac:dyDescent="0.25">
      <c r="A423" s="53" t="s">
        <v>583</v>
      </c>
      <c r="B423" s="90" t="str">
        <f>A423&amp;".Apart from today, when was the last time you conducted any financial activity with this mobile money service? "&amp;'brand name'!C7</f>
        <v>MM5.6.Apart from today, when was the last time you conducted any financial activity with this mobile money service? Skye</v>
      </c>
      <c r="C423" s="57" t="s">
        <v>578</v>
      </c>
      <c r="D423" s="53" t="s">
        <v>38</v>
      </c>
      <c r="E423" s="53">
        <v>1</v>
      </c>
      <c r="F423" s="53">
        <f t="shared" ref="F423:F428" si="101">G422+1</f>
        <v>750</v>
      </c>
      <c r="G423" s="53">
        <f t="shared" ref="G423:G428" si="102">G422+E423</f>
        <v>750</v>
      </c>
      <c r="H423" s="14" t="str">
        <f t="shared" si="100"/>
        <v>IF MM4_6=1</v>
      </c>
      <c r="I423" s="53" t="str">
        <f t="shared" si="85"/>
        <v>MM5_6</v>
      </c>
    </row>
    <row r="424" spans="1:9" s="3" customFormat="1" ht="63.75" x14ac:dyDescent="0.25">
      <c r="A424" s="53" t="s">
        <v>584</v>
      </c>
      <c r="B424" s="90" t="str">
        <f>A424&amp;".Apart from today, when was the last time you conducted any financial activity with this mobile money service? "&amp;'brand name'!C8</f>
        <v>MM5.7.Apart from today, when was the last time you conducted any financial activity with this mobile money service? T-Cash</v>
      </c>
      <c r="C424" s="57" t="s">
        <v>578</v>
      </c>
      <c r="D424" s="53" t="s">
        <v>38</v>
      </c>
      <c r="E424" s="53">
        <v>1</v>
      </c>
      <c r="F424" s="53">
        <f t="shared" si="101"/>
        <v>751</v>
      </c>
      <c r="G424" s="53">
        <f t="shared" si="102"/>
        <v>751</v>
      </c>
      <c r="H424" s="14" t="str">
        <f t="shared" si="100"/>
        <v>IF MM4_7=1</v>
      </c>
      <c r="I424" s="53" t="str">
        <f t="shared" si="85"/>
        <v>MM5_7</v>
      </c>
    </row>
    <row r="425" spans="1:9" s="3" customFormat="1" ht="63.75" x14ac:dyDescent="0.25">
      <c r="A425" s="53" t="s">
        <v>585</v>
      </c>
      <c r="B425" s="90" t="str">
        <f>A425&amp;".Apart from today, when was the last time you conducted any financial activity with this mobile money service? "&amp;'brand name'!C9</f>
        <v>MM5.8.Apart from today, when was the last time you conducted any financial activity with this mobile money service? XL Tunai</v>
      </c>
      <c r="C425" s="57" t="s">
        <v>578</v>
      </c>
      <c r="D425" s="53" t="s">
        <v>38</v>
      </c>
      <c r="E425" s="53">
        <v>1</v>
      </c>
      <c r="F425" s="53">
        <f t="shared" si="101"/>
        <v>752</v>
      </c>
      <c r="G425" s="53">
        <f t="shared" si="102"/>
        <v>752</v>
      </c>
      <c r="H425" s="14" t="str">
        <f t="shared" si="100"/>
        <v>IF MM4_8=1</v>
      </c>
      <c r="I425" s="53" t="str">
        <f t="shared" si="85"/>
        <v>MM5_8</v>
      </c>
    </row>
    <row r="426" spans="1:9" s="3" customFormat="1" ht="63.75" x14ac:dyDescent="0.25">
      <c r="A426" s="53" t="s">
        <v>586</v>
      </c>
      <c r="B426" s="90" t="str">
        <f>A426&amp;".Apart from today, when was the last time you conducted any financial activity with this mobile money service? "&amp;'brand name'!C10</f>
        <v>MM5.9.Apart from today, when was the last time you conducted any financial activity with this mobile money service? Sakuku</v>
      </c>
      <c r="C426" s="57" t="s">
        <v>578</v>
      </c>
      <c r="D426" s="53" t="s">
        <v>38</v>
      </c>
      <c r="E426" s="53">
        <v>1</v>
      </c>
      <c r="F426" s="53">
        <f t="shared" si="101"/>
        <v>753</v>
      </c>
      <c r="G426" s="53">
        <f t="shared" si="102"/>
        <v>753</v>
      </c>
      <c r="H426" s="14" t="str">
        <f t="shared" si="100"/>
        <v>IF MM4_9=1</v>
      </c>
      <c r="I426" s="53" t="str">
        <f t="shared" si="85"/>
        <v>MM5_9</v>
      </c>
    </row>
    <row r="427" spans="1:9" s="3" customFormat="1" ht="63.75" x14ac:dyDescent="0.25">
      <c r="A427" s="53" t="s">
        <v>587</v>
      </c>
      <c r="B427" s="90" t="str">
        <f>A427&amp;".Apart from today, when was the last time you conducted any financial activity with this mobile money service? "&amp;'brand name'!C11</f>
        <v>MM5.10.Apart from today, when was the last time you conducted any financial activity with this mobile money service? True Money</v>
      </c>
      <c r="C427" s="57" t="s">
        <v>578</v>
      </c>
      <c r="D427" s="53" t="s">
        <v>38</v>
      </c>
      <c r="E427" s="53">
        <v>1</v>
      </c>
      <c r="F427" s="53">
        <f t="shared" si="101"/>
        <v>754</v>
      </c>
      <c r="G427" s="53">
        <f t="shared" si="102"/>
        <v>754</v>
      </c>
      <c r="H427" s="14" t="str">
        <f t="shared" si="100"/>
        <v>IF MM4_10=1</v>
      </c>
      <c r="I427" s="53" t="str">
        <f t="shared" si="85"/>
        <v>MM5_10</v>
      </c>
    </row>
    <row r="428" spans="1:9" s="3" customFormat="1" ht="63.75" x14ac:dyDescent="0.25">
      <c r="A428" s="53" t="s">
        <v>2372</v>
      </c>
      <c r="B428" s="90" t="str">
        <f>A428&amp;".Apart from today, when was the last time you conducted any financial activity with this mobile money service? "&amp;'brand name'!C12</f>
        <v>MM5.11.Apart from today, when was the last time you conducted any financial activity with this mobile money service? T-Bank</v>
      </c>
      <c r="C428" s="57" t="s">
        <v>578</v>
      </c>
      <c r="D428" s="53" t="s">
        <v>38</v>
      </c>
      <c r="E428" s="53">
        <v>1</v>
      </c>
      <c r="F428" s="53">
        <f t="shared" si="101"/>
        <v>755</v>
      </c>
      <c r="G428" s="53">
        <f t="shared" si="102"/>
        <v>755</v>
      </c>
      <c r="H428" s="14" t="str">
        <f t="shared" si="100"/>
        <v>IF MM4_11=1</v>
      </c>
      <c r="I428" s="53" t="str">
        <f t="shared" si="85"/>
        <v>MM5_11</v>
      </c>
    </row>
    <row r="429" spans="1:9" s="3" customFormat="1" ht="63.75" x14ac:dyDescent="0.25">
      <c r="A429" s="53" t="s">
        <v>588</v>
      </c>
      <c r="B429" s="90" t="str">
        <f>A429&amp;".Apart from today, when was the last time you conducted any financial activity with this mobile money service? "&amp;'brand name'!C13</f>
        <v>MM5.96.Apart from today, when was the last time you conducted any financial activity with this mobile money service? Other(Specify)</v>
      </c>
      <c r="C429" s="57" t="s">
        <v>578</v>
      </c>
      <c r="D429" s="53" t="s">
        <v>38</v>
      </c>
      <c r="E429" s="53">
        <v>1</v>
      </c>
      <c r="F429" s="53">
        <f t="shared" ref="F429:F430" si="103">G428+1</f>
        <v>756</v>
      </c>
      <c r="G429" s="53">
        <f t="shared" ref="G429:G430" si="104">G428+E429</f>
        <v>756</v>
      </c>
      <c r="H429" s="14" t="str">
        <f t="shared" si="100"/>
        <v>IF MM4_96=1</v>
      </c>
      <c r="I429" s="53" t="str">
        <f t="shared" si="85"/>
        <v>MM5_96</v>
      </c>
    </row>
    <row r="430" spans="1:9" s="3" customFormat="1" ht="51" x14ac:dyDescent="0.25">
      <c r="A430" s="53" t="s">
        <v>589</v>
      </c>
      <c r="B430" s="90" t="str">
        <f>A430&amp;".When/what time do you typically conduct any financial activity using mobile money service? "&amp;'brand name'!C2</f>
        <v>MM5A.1.When/what time do you typically conduct any financial activity using mobile money service? BBM Money</v>
      </c>
      <c r="C430" s="57" t="s">
        <v>590</v>
      </c>
      <c r="D430" s="53" t="s">
        <v>38</v>
      </c>
      <c r="E430" s="53">
        <v>1</v>
      </c>
      <c r="F430" s="53">
        <f t="shared" si="103"/>
        <v>757</v>
      </c>
      <c r="G430" s="53">
        <f t="shared" si="104"/>
        <v>757</v>
      </c>
      <c r="H430" s="14" t="str">
        <f t="shared" ref="H430:H441" si="105">"IF "&amp;I406&amp;"=1"</f>
        <v>IF MM4_1=1</v>
      </c>
      <c r="I430" s="53" t="str">
        <f t="shared" si="85"/>
        <v>MM5A_1</v>
      </c>
    </row>
    <row r="431" spans="1:9" s="3" customFormat="1" ht="51" x14ac:dyDescent="0.25">
      <c r="A431" s="53" t="s">
        <v>591</v>
      </c>
      <c r="B431" s="90" t="str">
        <f>A431&amp;".When/what time do you typically conduct any financial activity using mobile money service? "&amp;'brand name'!C3</f>
        <v>MM5A.2.When/what time do you typically conduct any financial activity using mobile money service? Dompetku</v>
      </c>
      <c r="C431" s="57" t="s">
        <v>590</v>
      </c>
      <c r="D431" s="53" t="s">
        <v>38</v>
      </c>
      <c r="E431" s="53">
        <v>1</v>
      </c>
      <c r="F431" s="53">
        <f>G430+1</f>
        <v>758</v>
      </c>
      <c r="G431" s="53">
        <f>G430+E431</f>
        <v>758</v>
      </c>
      <c r="H431" s="14" t="str">
        <f t="shared" si="105"/>
        <v>IF MM4_2=1</v>
      </c>
      <c r="I431" s="53" t="str">
        <f t="shared" si="85"/>
        <v>MM5A_2</v>
      </c>
    </row>
    <row r="432" spans="1:9" s="3" customFormat="1" ht="51" x14ac:dyDescent="0.25">
      <c r="A432" s="53" t="s">
        <v>592</v>
      </c>
      <c r="B432" s="90" t="str">
        <f>A432&amp;".When/what time do you typically conduct any financial activity using mobile money service? "&amp;'brand name'!C4</f>
        <v>MM5A.3.When/what time do you typically conduct any financial activity using mobile money service? E-Cash</v>
      </c>
      <c r="C432" s="57" t="s">
        <v>590</v>
      </c>
      <c r="D432" s="53" t="s">
        <v>38</v>
      </c>
      <c r="E432" s="53">
        <v>1</v>
      </c>
      <c r="F432" s="53">
        <f>G431+1</f>
        <v>759</v>
      </c>
      <c r="G432" s="53">
        <f>G431+E432</f>
        <v>759</v>
      </c>
      <c r="H432" s="14" t="str">
        <f t="shared" si="105"/>
        <v>IF MM4_3=1</v>
      </c>
      <c r="I432" s="53" t="str">
        <f t="shared" si="85"/>
        <v>MM5A_3</v>
      </c>
    </row>
    <row r="433" spans="1:9" s="3" customFormat="1" ht="51" x14ac:dyDescent="0.25">
      <c r="A433" s="53" t="s">
        <v>593</v>
      </c>
      <c r="B433" s="90" t="str">
        <f>A433&amp;".When/what time do you typically conduct any financial activity using mobile money service? "&amp;'brand name'!C5</f>
        <v>MM5A.4.When/what time do you typically conduct any financial activity using mobile money service? MoCash</v>
      </c>
      <c r="C433" s="57" t="s">
        <v>590</v>
      </c>
      <c r="D433" s="53" t="s">
        <v>38</v>
      </c>
      <c r="E433" s="53">
        <v>1</v>
      </c>
      <c r="F433" s="53">
        <f>G432+1</f>
        <v>760</v>
      </c>
      <c r="G433" s="53">
        <f>G432+E433</f>
        <v>760</v>
      </c>
      <c r="H433" s="14" t="str">
        <f t="shared" si="105"/>
        <v>IF MM4_4=1</v>
      </c>
      <c r="I433" s="53" t="str">
        <f t="shared" si="85"/>
        <v>MM5A_4</v>
      </c>
    </row>
    <row r="434" spans="1:9" s="3" customFormat="1" ht="51" x14ac:dyDescent="0.25">
      <c r="A434" s="53" t="s">
        <v>594</v>
      </c>
      <c r="B434" s="90" t="str">
        <f>A434&amp;".When/what time do you typically conduct any financial activity using mobile money service? "&amp;'brand name'!C6</f>
        <v>MM5A.5.When/what time do you typically conduct any financial activity using mobile money service? Rekening Ponsel</v>
      </c>
      <c r="C434" s="57" t="s">
        <v>590</v>
      </c>
      <c r="D434" s="53" t="s">
        <v>38</v>
      </c>
      <c r="E434" s="53">
        <v>1</v>
      </c>
      <c r="F434" s="53">
        <f>G433+1</f>
        <v>761</v>
      </c>
      <c r="G434" s="53">
        <f>G433+E434</f>
        <v>761</v>
      </c>
      <c r="H434" s="14" t="str">
        <f t="shared" si="105"/>
        <v>IF MM4_5=1</v>
      </c>
      <c r="I434" s="53" t="str">
        <f t="shared" si="85"/>
        <v>MM5A_5</v>
      </c>
    </row>
    <row r="435" spans="1:9" s="3" customFormat="1" ht="51" x14ac:dyDescent="0.25">
      <c r="A435" s="53" t="s">
        <v>595</v>
      </c>
      <c r="B435" s="90" t="str">
        <f>A435&amp;".When/what time do you typically conduct any financial activity using mobile money service? "&amp;'brand name'!C7</f>
        <v>MM5A.6.When/what time do you typically conduct any financial activity using mobile money service? Skye</v>
      </c>
      <c r="C435" s="57" t="s">
        <v>590</v>
      </c>
      <c r="D435" s="53" t="s">
        <v>38</v>
      </c>
      <c r="E435" s="53">
        <v>1</v>
      </c>
      <c r="F435" s="53">
        <f t="shared" ref="F435:F440" si="106">G434+1</f>
        <v>762</v>
      </c>
      <c r="G435" s="53">
        <f t="shared" ref="G435:G440" si="107">G434+E435</f>
        <v>762</v>
      </c>
      <c r="H435" s="14" t="str">
        <f t="shared" si="105"/>
        <v>IF MM4_6=1</v>
      </c>
      <c r="I435" s="53" t="str">
        <f t="shared" si="85"/>
        <v>MM5A_6</v>
      </c>
    </row>
    <row r="436" spans="1:9" s="3" customFormat="1" ht="51" x14ac:dyDescent="0.25">
      <c r="A436" s="53" t="s">
        <v>596</v>
      </c>
      <c r="B436" s="90" t="str">
        <f>A436&amp;".When/what time do you typically conduct any financial activity using mobile money service? "&amp;'brand name'!C8</f>
        <v>MM5A.7.When/what time do you typically conduct any financial activity using mobile money service? T-Cash</v>
      </c>
      <c r="C436" s="57" t="s">
        <v>590</v>
      </c>
      <c r="D436" s="53" t="s">
        <v>38</v>
      </c>
      <c r="E436" s="53">
        <v>1</v>
      </c>
      <c r="F436" s="53">
        <f t="shared" si="106"/>
        <v>763</v>
      </c>
      <c r="G436" s="53">
        <f t="shared" si="107"/>
        <v>763</v>
      </c>
      <c r="H436" s="14" t="str">
        <f t="shared" si="105"/>
        <v>IF MM4_7=1</v>
      </c>
      <c r="I436" s="53" t="str">
        <f t="shared" si="85"/>
        <v>MM5A_7</v>
      </c>
    </row>
    <row r="437" spans="1:9" s="3" customFormat="1" ht="51" x14ac:dyDescent="0.25">
      <c r="A437" s="53" t="s">
        <v>597</v>
      </c>
      <c r="B437" s="90" t="str">
        <f>A437&amp;".When/what time do you typically conduct any financial activity using mobile money service? "&amp;'brand name'!C9</f>
        <v>MM5A.8.When/what time do you typically conduct any financial activity using mobile money service? XL Tunai</v>
      </c>
      <c r="C437" s="57" t="s">
        <v>590</v>
      </c>
      <c r="D437" s="53" t="s">
        <v>38</v>
      </c>
      <c r="E437" s="53">
        <v>1</v>
      </c>
      <c r="F437" s="53">
        <f t="shared" si="106"/>
        <v>764</v>
      </c>
      <c r="G437" s="53">
        <f t="shared" si="107"/>
        <v>764</v>
      </c>
      <c r="H437" s="14" t="str">
        <f t="shared" si="105"/>
        <v>IF MM4_8=1</v>
      </c>
      <c r="I437" s="53" t="str">
        <f t="shared" si="85"/>
        <v>MM5A_8</v>
      </c>
    </row>
    <row r="438" spans="1:9" s="3" customFormat="1" ht="51" x14ac:dyDescent="0.25">
      <c r="A438" s="53" t="s">
        <v>598</v>
      </c>
      <c r="B438" s="90" t="str">
        <f>A438&amp;".When/what time do you typically conduct any financial activity using mobile money service? "&amp;'brand name'!C10</f>
        <v>MM5A.9.When/what time do you typically conduct any financial activity using mobile money service? Sakuku</v>
      </c>
      <c r="C438" s="57" t="s">
        <v>590</v>
      </c>
      <c r="D438" s="53" t="s">
        <v>38</v>
      </c>
      <c r="E438" s="53">
        <v>1</v>
      </c>
      <c r="F438" s="53">
        <f t="shared" si="106"/>
        <v>765</v>
      </c>
      <c r="G438" s="53">
        <f t="shared" si="107"/>
        <v>765</v>
      </c>
      <c r="H438" s="14" t="str">
        <f t="shared" si="105"/>
        <v>IF MM4_9=1</v>
      </c>
      <c r="I438" s="53" t="str">
        <f t="shared" si="85"/>
        <v>MM5A_9</v>
      </c>
    </row>
    <row r="439" spans="1:9" s="3" customFormat="1" ht="51" x14ac:dyDescent="0.25">
      <c r="A439" s="53" t="s">
        <v>599</v>
      </c>
      <c r="B439" s="90" t="str">
        <f>A439&amp;".When/what time do you typically conduct any financial activity using mobile money service? "&amp;'brand name'!C11</f>
        <v>MM5A.10.When/what time do you typically conduct any financial activity using mobile money service? True Money</v>
      </c>
      <c r="C439" s="57" t="s">
        <v>590</v>
      </c>
      <c r="D439" s="53" t="s">
        <v>38</v>
      </c>
      <c r="E439" s="53">
        <v>1</v>
      </c>
      <c r="F439" s="53">
        <f t="shared" si="106"/>
        <v>766</v>
      </c>
      <c r="G439" s="53">
        <f t="shared" si="107"/>
        <v>766</v>
      </c>
      <c r="H439" s="14" t="str">
        <f t="shared" si="105"/>
        <v>IF MM4_10=1</v>
      </c>
      <c r="I439" s="53" t="str">
        <f t="shared" si="85"/>
        <v>MM5A_10</v>
      </c>
    </row>
    <row r="440" spans="1:9" s="3" customFormat="1" ht="51" x14ac:dyDescent="0.25">
      <c r="A440" s="53" t="s">
        <v>2373</v>
      </c>
      <c r="B440" s="90" t="str">
        <f>A440&amp;".When/what time do you typically conduct any financial activity using mobile money service? "&amp;'brand name'!C12</f>
        <v>MM5A.11.When/what time do you typically conduct any financial activity using mobile money service? T-Bank</v>
      </c>
      <c r="C440" s="57" t="s">
        <v>590</v>
      </c>
      <c r="D440" s="53" t="s">
        <v>38</v>
      </c>
      <c r="E440" s="53">
        <v>1</v>
      </c>
      <c r="F440" s="53">
        <f t="shared" si="106"/>
        <v>767</v>
      </c>
      <c r="G440" s="53">
        <f t="shared" si="107"/>
        <v>767</v>
      </c>
      <c r="H440" s="14" t="str">
        <f t="shared" si="105"/>
        <v>IF MM4_11=1</v>
      </c>
      <c r="I440" s="53" t="str">
        <f t="shared" si="85"/>
        <v>MM5A_11</v>
      </c>
    </row>
    <row r="441" spans="1:9" s="3" customFormat="1" ht="51" x14ac:dyDescent="0.25">
      <c r="A441" s="53" t="s">
        <v>600</v>
      </c>
      <c r="B441" s="90" t="str">
        <f>A441&amp;".When/what time do you typically conduct any financial activity using mobile money service? "&amp;'brand name'!C13</f>
        <v>MM5A.96.When/what time do you typically conduct any financial activity using mobile money service? Other(Specify)</v>
      </c>
      <c r="C441" s="57" t="s">
        <v>590</v>
      </c>
      <c r="D441" s="53" t="s">
        <v>38</v>
      </c>
      <c r="E441" s="53">
        <v>1</v>
      </c>
      <c r="F441" s="53">
        <f t="shared" ref="F441:F442" si="108">G440+1</f>
        <v>768</v>
      </c>
      <c r="G441" s="53">
        <f t="shared" ref="G441:G442" si="109">G440+E441</f>
        <v>768</v>
      </c>
      <c r="H441" s="14" t="str">
        <f t="shared" si="105"/>
        <v>IF MM4_96=1</v>
      </c>
      <c r="I441" s="53" t="str">
        <f t="shared" si="85"/>
        <v>MM5A_96</v>
      </c>
    </row>
    <row r="442" spans="1:9" s="3" customFormat="1" ht="25.5" x14ac:dyDescent="0.25">
      <c r="A442" s="53" t="s">
        <v>601</v>
      </c>
      <c r="B442" s="90" t="str">
        <f>A442&amp;".Do you have a registered account (account registered in your name) with this mobile money service? "&amp;'brand name'!C2</f>
        <v>MM6.1.Do you have a registered account (account registered in your name) with this mobile money service? BBM Money</v>
      </c>
      <c r="C442" s="57" t="s">
        <v>142</v>
      </c>
      <c r="D442" s="53" t="s">
        <v>38</v>
      </c>
      <c r="E442" s="53">
        <v>1</v>
      </c>
      <c r="F442" s="53">
        <f t="shared" si="108"/>
        <v>769</v>
      </c>
      <c r="G442" s="53">
        <f t="shared" si="109"/>
        <v>769</v>
      </c>
      <c r="H442" s="14" t="str">
        <f t="shared" ref="H442:H453" si="110">"IF "&amp;I382&amp;"=1 OR "&amp;I394&amp;"=1"</f>
        <v>IF MM2_1=1 OR MM3_1=1</v>
      </c>
      <c r="I442" s="53" t="str">
        <f t="shared" si="85"/>
        <v>MM6_1</v>
      </c>
    </row>
    <row r="443" spans="1:9" s="3" customFormat="1" ht="25.5" x14ac:dyDescent="0.25">
      <c r="A443" s="53" t="s">
        <v>602</v>
      </c>
      <c r="B443" s="90" t="str">
        <f>A443&amp;".Do you have a registered account (account registered in your name) with this mobile money service? "&amp;'brand name'!C3</f>
        <v>MM6.2.Do you have a registered account (account registered in your name) with this mobile money service? Dompetku</v>
      </c>
      <c r="C443" s="57" t="s">
        <v>142</v>
      </c>
      <c r="D443" s="53" t="s">
        <v>38</v>
      </c>
      <c r="E443" s="53">
        <v>1</v>
      </c>
      <c r="F443" s="53">
        <f>G442+1</f>
        <v>770</v>
      </c>
      <c r="G443" s="53">
        <f>G442+E443</f>
        <v>770</v>
      </c>
      <c r="H443" s="14" t="str">
        <f t="shared" si="110"/>
        <v>IF MM2_2=1 OR MM3_2=1</v>
      </c>
      <c r="I443" s="53" t="str">
        <f t="shared" si="85"/>
        <v>MM6_2</v>
      </c>
    </row>
    <row r="444" spans="1:9" s="3" customFormat="1" ht="25.5" x14ac:dyDescent="0.25">
      <c r="A444" s="53" t="s">
        <v>603</v>
      </c>
      <c r="B444" s="90" t="str">
        <f>A444&amp;".Do you have a registered account (account registered in your name) with this mobile money service? "&amp;'brand name'!C4</f>
        <v>MM6.3.Do you have a registered account (account registered in your name) with this mobile money service? E-Cash</v>
      </c>
      <c r="C444" s="57" t="s">
        <v>142</v>
      </c>
      <c r="D444" s="53" t="s">
        <v>38</v>
      </c>
      <c r="E444" s="53">
        <v>1</v>
      </c>
      <c r="F444" s="53">
        <f>G443+1</f>
        <v>771</v>
      </c>
      <c r="G444" s="53">
        <f>G443+E444</f>
        <v>771</v>
      </c>
      <c r="H444" s="14" t="str">
        <f t="shared" si="110"/>
        <v>IF MM2_3=1 OR MM3_3=1</v>
      </c>
      <c r="I444" s="53" t="str">
        <f t="shared" si="85"/>
        <v>MM6_3</v>
      </c>
    </row>
    <row r="445" spans="1:9" s="3" customFormat="1" ht="25.5" x14ac:dyDescent="0.25">
      <c r="A445" s="53" t="s">
        <v>604</v>
      </c>
      <c r="B445" s="90" t="str">
        <f>A445&amp;".Do you have a registered account (account registered in your name) with this mobile money service? "&amp;'brand name'!C5</f>
        <v>MM6.4.Do you have a registered account (account registered in your name) with this mobile money service? MoCash</v>
      </c>
      <c r="C445" s="57" t="s">
        <v>142</v>
      </c>
      <c r="D445" s="53" t="s">
        <v>38</v>
      </c>
      <c r="E445" s="53">
        <v>1</v>
      </c>
      <c r="F445" s="53">
        <f>G444+1</f>
        <v>772</v>
      </c>
      <c r="G445" s="53">
        <f>G444+E445</f>
        <v>772</v>
      </c>
      <c r="H445" s="14" t="str">
        <f t="shared" si="110"/>
        <v>IF MM2_4=1 OR MM3_4=1</v>
      </c>
      <c r="I445" s="53" t="str">
        <f t="shared" si="85"/>
        <v>MM6_4</v>
      </c>
    </row>
    <row r="446" spans="1:9" s="3" customFormat="1" ht="25.5" x14ac:dyDescent="0.25">
      <c r="A446" s="53" t="s">
        <v>605</v>
      </c>
      <c r="B446" s="90" t="str">
        <f>A446&amp;".Do you have a registered account (account registered in your name) with this mobile money service? "&amp;'brand name'!C6</f>
        <v>MM6.5.Do you have a registered account (account registered in your name) with this mobile money service? Rekening Ponsel</v>
      </c>
      <c r="C446" s="57" t="s">
        <v>142</v>
      </c>
      <c r="D446" s="53" t="s">
        <v>38</v>
      </c>
      <c r="E446" s="53">
        <v>1</v>
      </c>
      <c r="F446" s="53">
        <f>G445+1</f>
        <v>773</v>
      </c>
      <c r="G446" s="53">
        <f>G445+E446</f>
        <v>773</v>
      </c>
      <c r="H446" s="14" t="str">
        <f t="shared" si="110"/>
        <v>IF MM2_5=1 OR MM3_5=1</v>
      </c>
      <c r="I446" s="53" t="str">
        <f t="shared" ref="I446:I450" si="111">SUBSTITUTE(A446,".","_")</f>
        <v>MM6_5</v>
      </c>
    </row>
    <row r="447" spans="1:9" s="3" customFormat="1" ht="25.5" x14ac:dyDescent="0.25">
      <c r="A447" s="53" t="s">
        <v>606</v>
      </c>
      <c r="B447" s="90" t="str">
        <f>A447&amp;".Do you have a registered account (account registered in your name) with this mobile money service? "&amp;'brand name'!C7</f>
        <v>MM6.6.Do you have a registered account (account registered in your name) with this mobile money service? Skye</v>
      </c>
      <c r="C447" s="57" t="s">
        <v>142</v>
      </c>
      <c r="D447" s="53" t="s">
        <v>38</v>
      </c>
      <c r="E447" s="53">
        <v>1</v>
      </c>
      <c r="F447" s="53">
        <f t="shared" ref="F447:F452" si="112">G446+1</f>
        <v>774</v>
      </c>
      <c r="G447" s="53">
        <f t="shared" ref="G447:G452" si="113">G446+E447</f>
        <v>774</v>
      </c>
      <c r="H447" s="14" t="str">
        <f t="shared" si="110"/>
        <v>IF MM2_6=1 OR MM3_6=1</v>
      </c>
      <c r="I447" s="53" t="str">
        <f t="shared" si="111"/>
        <v>MM6_6</v>
      </c>
    </row>
    <row r="448" spans="1:9" s="3" customFormat="1" ht="25.5" x14ac:dyDescent="0.25">
      <c r="A448" s="53" t="s">
        <v>607</v>
      </c>
      <c r="B448" s="90" t="str">
        <f>A448&amp;".Do you have a registered account (account registered in your name) with this mobile money service? "&amp;'brand name'!C8</f>
        <v>MM6.7.Do you have a registered account (account registered in your name) with this mobile money service? T-Cash</v>
      </c>
      <c r="C448" s="57" t="s">
        <v>142</v>
      </c>
      <c r="D448" s="53" t="s">
        <v>38</v>
      </c>
      <c r="E448" s="53">
        <v>1</v>
      </c>
      <c r="F448" s="53">
        <f t="shared" si="112"/>
        <v>775</v>
      </c>
      <c r="G448" s="53">
        <f t="shared" si="113"/>
        <v>775</v>
      </c>
      <c r="H448" s="14" t="str">
        <f t="shared" si="110"/>
        <v>IF MM2_7=1 OR MM3_7=1</v>
      </c>
      <c r="I448" s="53" t="str">
        <f t="shared" si="111"/>
        <v>MM6_7</v>
      </c>
    </row>
    <row r="449" spans="1:9" s="3" customFormat="1" ht="25.5" x14ac:dyDescent="0.25">
      <c r="A449" s="53" t="s">
        <v>608</v>
      </c>
      <c r="B449" s="90" t="str">
        <f>A449&amp;".Do you have a registered account (account registered in your name) with this mobile money service? "&amp;'brand name'!C9</f>
        <v>MM6.8.Do you have a registered account (account registered in your name) with this mobile money service? XL Tunai</v>
      </c>
      <c r="C449" s="57" t="s">
        <v>142</v>
      </c>
      <c r="D449" s="53" t="s">
        <v>38</v>
      </c>
      <c r="E449" s="53">
        <v>1</v>
      </c>
      <c r="F449" s="53">
        <f t="shared" si="112"/>
        <v>776</v>
      </c>
      <c r="G449" s="53">
        <f t="shared" si="113"/>
        <v>776</v>
      </c>
      <c r="H449" s="14" t="str">
        <f t="shared" si="110"/>
        <v>IF MM2_8=1 OR MM3_8=1</v>
      </c>
      <c r="I449" s="53" t="str">
        <f t="shared" si="111"/>
        <v>MM6_8</v>
      </c>
    </row>
    <row r="450" spans="1:9" s="3" customFormat="1" ht="25.5" x14ac:dyDescent="0.25">
      <c r="A450" s="53" t="s">
        <v>609</v>
      </c>
      <c r="B450" s="90" t="str">
        <f>A450&amp;".Do you have a registered account (account registered in your name) with this mobile money service? "&amp;'brand name'!C10</f>
        <v>MM6.9.Do you have a registered account (account registered in your name) with this mobile money service? Sakuku</v>
      </c>
      <c r="C450" s="57" t="s">
        <v>142</v>
      </c>
      <c r="D450" s="53" t="s">
        <v>38</v>
      </c>
      <c r="E450" s="53">
        <v>1</v>
      </c>
      <c r="F450" s="53">
        <f t="shared" si="112"/>
        <v>777</v>
      </c>
      <c r="G450" s="53">
        <f t="shared" si="113"/>
        <v>777</v>
      </c>
      <c r="H450" s="14" t="str">
        <f t="shared" si="110"/>
        <v>IF MM2_9=1 OR MM3_9=1</v>
      </c>
      <c r="I450" s="53" t="str">
        <f t="shared" si="111"/>
        <v>MM6_9</v>
      </c>
    </row>
    <row r="451" spans="1:9" s="3" customFormat="1" ht="25.5" x14ac:dyDescent="0.25">
      <c r="A451" s="53" t="s">
        <v>610</v>
      </c>
      <c r="B451" s="90" t="str">
        <f>A451&amp;".Do you have a registered account (account registered in your name) with this mobile money service? "&amp;'brand name'!C11</f>
        <v>MM6.10.Do you have a registered account (account registered in your name) with this mobile money service? True Money</v>
      </c>
      <c r="C451" s="57" t="s">
        <v>142</v>
      </c>
      <c r="D451" s="53" t="s">
        <v>38</v>
      </c>
      <c r="E451" s="53">
        <v>1</v>
      </c>
      <c r="F451" s="53">
        <f t="shared" si="112"/>
        <v>778</v>
      </c>
      <c r="G451" s="53">
        <f t="shared" si="113"/>
        <v>778</v>
      </c>
      <c r="H451" s="14" t="str">
        <f t="shared" si="110"/>
        <v>IF MM2_10=1 OR MM3_10=1</v>
      </c>
      <c r="I451" s="53" t="str">
        <f>LEFT(A451,3)&amp;"_"&amp;RIGHT(A451,2)</f>
        <v>MM6_10</v>
      </c>
    </row>
    <row r="452" spans="1:9" s="3" customFormat="1" ht="25.5" x14ac:dyDescent="0.25">
      <c r="A452" s="53" t="s">
        <v>2374</v>
      </c>
      <c r="B452" s="90" t="str">
        <f>A452&amp;".Do you have a registered account (account registered in your name) with this mobile money service? "&amp;'brand name'!C12</f>
        <v>MM6.11.Do you have a registered account (account registered in your name) with this mobile money service? T-Bank</v>
      </c>
      <c r="C452" s="57" t="s">
        <v>142</v>
      </c>
      <c r="D452" s="53" t="s">
        <v>38</v>
      </c>
      <c r="E452" s="53">
        <v>1</v>
      </c>
      <c r="F452" s="53">
        <f t="shared" si="112"/>
        <v>779</v>
      </c>
      <c r="G452" s="53">
        <f t="shared" si="113"/>
        <v>779</v>
      </c>
      <c r="H452" s="14" t="str">
        <f t="shared" si="110"/>
        <v>IF MM2_11=1 OR MM3_11=1</v>
      </c>
      <c r="I452" s="53" t="str">
        <f>LEFT(A452,3)&amp;"_"&amp;RIGHT(A452,2)</f>
        <v>MM6_11</v>
      </c>
    </row>
    <row r="453" spans="1:9" s="3" customFormat="1" ht="25.5" x14ac:dyDescent="0.25">
      <c r="A453" s="53" t="s">
        <v>611</v>
      </c>
      <c r="B453" s="90" t="str">
        <f>A453&amp;".Do you have a registered account (account registered in your name) with this mobile money service? "&amp;'brand name'!C13</f>
        <v>MM6.96.Do you have a registered account (account registered in your name) with this mobile money service? Other(Specify)</v>
      </c>
      <c r="C453" s="57" t="s">
        <v>142</v>
      </c>
      <c r="D453" s="53" t="s">
        <v>38</v>
      </c>
      <c r="E453" s="53">
        <v>1</v>
      </c>
      <c r="F453" s="53">
        <f t="shared" ref="F453:F454" si="114">G452+1</f>
        <v>780</v>
      </c>
      <c r="G453" s="53">
        <f t="shared" ref="G453:G454" si="115">G452+E453</f>
        <v>780</v>
      </c>
      <c r="H453" s="14" t="str">
        <f t="shared" si="110"/>
        <v>IF MM2_96=1 OR MM3_96=1</v>
      </c>
      <c r="I453" s="53" t="str">
        <f>LEFT(A453,3)&amp;"_"&amp;RIGHT(A453,2)</f>
        <v>MM6_96</v>
      </c>
    </row>
    <row r="454" spans="1:9" s="3" customFormat="1" ht="38.25" x14ac:dyDescent="0.25">
      <c r="A454" s="53" t="s">
        <v>612</v>
      </c>
      <c r="B454" s="90" t="str">
        <f>A454&amp;".Did you register for this mobile money account before or after you started using this mobile money service?"&amp;'brand name'!C2</f>
        <v>MM7.1.Did you register for this mobile money account before or after you started using this mobile money service?BBM Money</v>
      </c>
      <c r="C454" s="90" t="s">
        <v>613</v>
      </c>
      <c r="D454" s="53" t="s">
        <v>38</v>
      </c>
      <c r="E454" s="53">
        <v>2</v>
      </c>
      <c r="F454" s="53">
        <f t="shared" si="114"/>
        <v>781</v>
      </c>
      <c r="G454" s="53">
        <f t="shared" si="115"/>
        <v>782</v>
      </c>
      <c r="H454" s="14" t="str">
        <f t="shared" ref="H454:H465" si="116">"IF "&amp;I406&amp;"=1 AND "&amp;I442&amp;"=1"</f>
        <v>IF MM4_1=1 AND MM6_1=1</v>
      </c>
      <c r="I454" s="53" t="str">
        <f t="shared" ref="I454:I459" si="117">LEFT(A454,3)&amp;"_"&amp;RIGHT(A454,1)</f>
        <v>MM7_1</v>
      </c>
    </row>
    <row r="455" spans="1:9" s="3" customFormat="1" ht="38.25" x14ac:dyDescent="0.25">
      <c r="A455" s="53" t="s">
        <v>614</v>
      </c>
      <c r="B455" s="90" t="str">
        <f>A455&amp;".Did you register for this mobile money account before or after you started using this mobile money service?"&amp;'brand name'!C3</f>
        <v>MM7.2.Did you register for this mobile money account before or after you started using this mobile money service?Dompetku</v>
      </c>
      <c r="C455" s="90" t="s">
        <v>613</v>
      </c>
      <c r="D455" s="53" t="s">
        <v>38</v>
      </c>
      <c r="E455" s="53">
        <v>2</v>
      </c>
      <c r="F455" s="53">
        <f t="shared" ref="F455:F463" si="118">G454+1</f>
        <v>783</v>
      </c>
      <c r="G455" s="53">
        <f t="shared" ref="G455:G463" si="119">G454+E455</f>
        <v>784</v>
      </c>
      <c r="H455" s="14" t="str">
        <f t="shared" si="116"/>
        <v>IF MM4_2=1 AND MM6_2=1</v>
      </c>
      <c r="I455" s="53" t="str">
        <f t="shared" si="117"/>
        <v>MM7_2</v>
      </c>
    </row>
    <row r="456" spans="1:9" s="3" customFormat="1" ht="38.25" x14ac:dyDescent="0.25">
      <c r="A456" s="53" t="s">
        <v>615</v>
      </c>
      <c r="B456" s="90" t="str">
        <f>A456&amp;".Did you register for this mobile money account before or after you started using this mobile money service?"&amp;'brand name'!C4</f>
        <v>MM7.3.Did you register for this mobile money account before or after you started using this mobile money service?E-Cash</v>
      </c>
      <c r="C456" s="90" t="s">
        <v>613</v>
      </c>
      <c r="D456" s="53" t="s">
        <v>38</v>
      </c>
      <c r="E456" s="53">
        <v>2</v>
      </c>
      <c r="F456" s="53">
        <f t="shared" si="118"/>
        <v>785</v>
      </c>
      <c r="G456" s="53">
        <f t="shared" si="119"/>
        <v>786</v>
      </c>
      <c r="H456" s="14" t="str">
        <f t="shared" si="116"/>
        <v>IF MM4_3=1 AND MM6_3=1</v>
      </c>
      <c r="I456" s="53" t="str">
        <f t="shared" si="117"/>
        <v>MM7_3</v>
      </c>
    </row>
    <row r="457" spans="1:9" s="3" customFormat="1" ht="38.25" x14ac:dyDescent="0.25">
      <c r="A457" s="53" t="s">
        <v>616</v>
      </c>
      <c r="B457" s="90" t="str">
        <f>A457&amp;".Did you register for this mobile money account before or after you started using this mobile money service?"&amp;'brand name'!C5</f>
        <v>MM7.4.Did you register for this mobile money account before or after you started using this mobile money service?MoCash</v>
      </c>
      <c r="C457" s="90" t="s">
        <v>613</v>
      </c>
      <c r="D457" s="53" t="s">
        <v>38</v>
      </c>
      <c r="E457" s="53">
        <v>2</v>
      </c>
      <c r="F457" s="53">
        <f t="shared" si="118"/>
        <v>787</v>
      </c>
      <c r="G457" s="53">
        <f t="shared" si="119"/>
        <v>788</v>
      </c>
      <c r="H457" s="14" t="str">
        <f t="shared" si="116"/>
        <v>IF MM4_4=1 AND MM6_4=1</v>
      </c>
      <c r="I457" s="53" t="str">
        <f t="shared" si="117"/>
        <v>MM7_4</v>
      </c>
    </row>
    <row r="458" spans="1:9" s="3" customFormat="1" ht="38.25" x14ac:dyDescent="0.25">
      <c r="A458" s="53" t="s">
        <v>617</v>
      </c>
      <c r="B458" s="90" t="str">
        <f>A458&amp;".Did you register for this mobile money account before or after you started using this mobile money service?"&amp;'brand name'!C6</f>
        <v>MM7.5.Did you register for this mobile money account before or after you started using this mobile money service?Rekening Ponsel</v>
      </c>
      <c r="C458" s="90" t="s">
        <v>613</v>
      </c>
      <c r="D458" s="53" t="s">
        <v>38</v>
      </c>
      <c r="E458" s="53">
        <v>2</v>
      </c>
      <c r="F458" s="53">
        <f t="shared" si="118"/>
        <v>789</v>
      </c>
      <c r="G458" s="53">
        <f t="shared" si="119"/>
        <v>790</v>
      </c>
      <c r="H458" s="14" t="str">
        <f t="shared" si="116"/>
        <v>IF MM4_5=1 AND MM6_5=1</v>
      </c>
      <c r="I458" s="53" t="str">
        <f t="shared" si="117"/>
        <v>MM7_5</v>
      </c>
    </row>
    <row r="459" spans="1:9" s="3" customFormat="1" ht="38.25" x14ac:dyDescent="0.25">
      <c r="A459" s="53" t="s">
        <v>618</v>
      </c>
      <c r="B459" s="90" t="str">
        <f>A459&amp;".Did you register for this mobile money account before or after you started using this mobile money service?"&amp;'brand name'!C7</f>
        <v>MM7.6.Did you register for this mobile money account before or after you started using this mobile money service?Skye</v>
      </c>
      <c r="C459" s="90" t="s">
        <v>613</v>
      </c>
      <c r="D459" s="53" t="s">
        <v>38</v>
      </c>
      <c r="E459" s="53">
        <v>2</v>
      </c>
      <c r="F459" s="53">
        <f t="shared" si="118"/>
        <v>791</v>
      </c>
      <c r="G459" s="53">
        <f t="shared" si="119"/>
        <v>792</v>
      </c>
      <c r="H459" s="14" t="str">
        <f t="shared" si="116"/>
        <v>IF MM4_6=1 AND MM6_6=1</v>
      </c>
      <c r="I459" s="53" t="str">
        <f t="shared" si="117"/>
        <v>MM7_6</v>
      </c>
    </row>
    <row r="460" spans="1:9" s="3" customFormat="1" ht="38.25" x14ac:dyDescent="0.25">
      <c r="A460" s="53" t="s">
        <v>619</v>
      </c>
      <c r="B460" s="90" t="str">
        <f>A460&amp;".Did you register for this mobile money account before or after you started using this mobile money service?"&amp;'brand name'!C8</f>
        <v>MM7.7.Did you register for this mobile money account before or after you started using this mobile money service?T-Cash</v>
      </c>
      <c r="C460" s="90" t="s">
        <v>613</v>
      </c>
      <c r="D460" s="53" t="s">
        <v>38</v>
      </c>
      <c r="E460" s="53">
        <v>2</v>
      </c>
      <c r="F460" s="53">
        <f t="shared" si="118"/>
        <v>793</v>
      </c>
      <c r="G460" s="53">
        <f t="shared" si="119"/>
        <v>794</v>
      </c>
      <c r="H460" s="14" t="str">
        <f t="shared" si="116"/>
        <v>IF MM4_7=1 AND MM6_7=1</v>
      </c>
      <c r="I460" s="53" t="str">
        <f>LEFT(A460,3)&amp;"_"&amp;RIGHT(A460,1)</f>
        <v>MM7_7</v>
      </c>
    </row>
    <row r="461" spans="1:9" s="3" customFormat="1" ht="38.25" x14ac:dyDescent="0.25">
      <c r="A461" s="53" t="s">
        <v>620</v>
      </c>
      <c r="B461" s="90" t="str">
        <f>A461&amp;".Did you register for this mobile money account before or after you started using this mobile money service?"&amp;'brand name'!C9</f>
        <v>MM7.8.Did you register for this mobile money account before or after you started using this mobile money service?XL Tunai</v>
      </c>
      <c r="C461" s="90" t="s">
        <v>613</v>
      </c>
      <c r="D461" s="53" t="s">
        <v>38</v>
      </c>
      <c r="E461" s="53">
        <v>2</v>
      </c>
      <c r="F461" s="53">
        <f t="shared" si="118"/>
        <v>795</v>
      </c>
      <c r="G461" s="53">
        <f t="shared" si="119"/>
        <v>796</v>
      </c>
      <c r="H461" s="14" t="str">
        <f t="shared" si="116"/>
        <v>IF MM4_8=1 AND MM6_8=1</v>
      </c>
      <c r="I461" s="53" t="str">
        <f>LEFT(A461,3)&amp;"_"&amp;RIGHT(A461,1)</f>
        <v>MM7_8</v>
      </c>
    </row>
    <row r="462" spans="1:9" s="3" customFormat="1" ht="38.25" x14ac:dyDescent="0.25">
      <c r="A462" s="53" t="s">
        <v>621</v>
      </c>
      <c r="B462" s="90" t="str">
        <f>A462&amp;".Did you register for this mobile money account before or after you started using this mobile money service?"&amp;'brand name'!C10</f>
        <v>MM7.9.Did you register for this mobile money account before or after you started using this mobile money service?Sakuku</v>
      </c>
      <c r="C462" s="90" t="s">
        <v>613</v>
      </c>
      <c r="D462" s="53" t="s">
        <v>38</v>
      </c>
      <c r="E462" s="53">
        <v>2</v>
      </c>
      <c r="F462" s="53">
        <f t="shared" si="118"/>
        <v>797</v>
      </c>
      <c r="G462" s="53">
        <f t="shared" si="119"/>
        <v>798</v>
      </c>
      <c r="H462" s="14" t="str">
        <f t="shared" si="116"/>
        <v>IF MM4_9=1 AND MM6_9=1</v>
      </c>
      <c r="I462" s="53" t="str">
        <f>LEFT(A462,3)&amp;"_"&amp;RIGHT(A462,1)</f>
        <v>MM7_9</v>
      </c>
    </row>
    <row r="463" spans="1:9" s="3" customFormat="1" ht="38.25" x14ac:dyDescent="0.25">
      <c r="A463" s="53" t="s">
        <v>622</v>
      </c>
      <c r="B463" s="90" t="str">
        <f>A463&amp;".Did you register for this mobile money account before or after you started using this mobile money service?"&amp;'brand name'!C11</f>
        <v>MM7.10.Did you register for this mobile money account before or after you started using this mobile money service?True Money</v>
      </c>
      <c r="C463" s="90" t="s">
        <v>613</v>
      </c>
      <c r="D463" s="53" t="s">
        <v>38</v>
      </c>
      <c r="E463" s="53">
        <v>2</v>
      </c>
      <c r="F463" s="53">
        <f t="shared" si="118"/>
        <v>799</v>
      </c>
      <c r="G463" s="53">
        <f t="shared" si="119"/>
        <v>800</v>
      </c>
      <c r="H463" s="14" t="str">
        <f t="shared" si="116"/>
        <v>IF MM4_10=1 AND MM6_10=1</v>
      </c>
      <c r="I463" s="53" t="str">
        <f>LEFT(A463,3)&amp;"_"&amp;RIGHT(A463,2)</f>
        <v>MM7_10</v>
      </c>
    </row>
    <row r="464" spans="1:9" s="3" customFormat="1" ht="38.25" x14ac:dyDescent="0.25">
      <c r="A464" s="53" t="s">
        <v>2375</v>
      </c>
      <c r="B464" s="90" t="str">
        <f>A464&amp;".Did you register for this mobile money account before or after you started using this mobile money service?"&amp;'brand name'!C12</f>
        <v>MM7.11.Did you register for this mobile money account before or after you started using this mobile money service?T-Bank</v>
      </c>
      <c r="C464" s="90" t="s">
        <v>613</v>
      </c>
      <c r="D464" s="53" t="s">
        <v>38</v>
      </c>
      <c r="E464" s="53">
        <v>2</v>
      </c>
      <c r="F464" s="53">
        <f t="shared" ref="F464:F470" si="120">G463+1</f>
        <v>801</v>
      </c>
      <c r="G464" s="53">
        <f>G463+E464</f>
        <v>802</v>
      </c>
      <c r="H464" s="14" t="str">
        <f t="shared" si="116"/>
        <v>IF MM4_11=1 AND MM6_11=1</v>
      </c>
      <c r="I464" s="53" t="str">
        <f>LEFT(A464,3)&amp;"_"&amp;RIGHT(A464,2)</f>
        <v>MM7_11</v>
      </c>
    </row>
    <row r="465" spans="1:9" s="3" customFormat="1" ht="38.25" x14ac:dyDescent="0.25">
      <c r="A465" s="53" t="s">
        <v>623</v>
      </c>
      <c r="B465" s="90" t="str">
        <f>A465&amp;".Did you register for this mobile money account before or after you started using this mobile money service?"&amp;'brand name'!C13</f>
        <v>MM7.96.Did you register for this mobile money account before or after you started using this mobile money service?Other(Specify)</v>
      </c>
      <c r="C465" s="90" t="s">
        <v>613</v>
      </c>
      <c r="D465" s="53" t="s">
        <v>38</v>
      </c>
      <c r="E465" s="53">
        <v>2</v>
      </c>
      <c r="F465" s="53">
        <f t="shared" ref="F465:F466" si="121">G464+1</f>
        <v>803</v>
      </c>
      <c r="G465" s="53">
        <f>G464+E465</f>
        <v>804</v>
      </c>
      <c r="H465" s="14" t="str">
        <f t="shared" si="116"/>
        <v>IF MM4_96=1 AND MM6_96=1</v>
      </c>
      <c r="I465" s="53" t="str">
        <f>LEFT(A465,3)&amp;"_"&amp;RIGHT(A465,2)</f>
        <v>MM7_96</v>
      </c>
    </row>
    <row r="466" spans="1:9" s="3" customFormat="1" ht="76.5" x14ac:dyDescent="0.25">
      <c r="A466" s="53" t="s">
        <v>624</v>
      </c>
      <c r="B466" s="90" t="str">
        <f>A466&amp;".Apart from today, when was the last time you conducted any financial activity using these registered accounts? "&amp;'brand name'!C2</f>
        <v>MM8.1.Apart from today, when was the last time you conducted any financial activity using these registered accounts? BBM Money</v>
      </c>
      <c r="C466" s="90" t="s">
        <v>625</v>
      </c>
      <c r="D466" s="53" t="s">
        <v>38</v>
      </c>
      <c r="E466" s="53">
        <v>1</v>
      </c>
      <c r="F466" s="53">
        <f t="shared" si="121"/>
        <v>805</v>
      </c>
      <c r="G466" s="53">
        <f>G465+E466</f>
        <v>805</v>
      </c>
      <c r="H466" s="14" t="str">
        <f t="shared" ref="H466:H477" si="122">"IF "&amp;I442&amp;"=1"</f>
        <v>IF MM6_1=1</v>
      </c>
      <c r="I466" s="53" t="str">
        <f t="shared" ref="I466:I474" si="123">LEFT(A466,3)&amp;"_"&amp;RIGHT(A466,1)</f>
        <v>MM8_1</v>
      </c>
    </row>
    <row r="467" spans="1:9" s="3" customFormat="1" ht="76.5" x14ac:dyDescent="0.25">
      <c r="A467" s="53" t="s">
        <v>626</v>
      </c>
      <c r="B467" s="90" t="str">
        <f>A467&amp;".Apart from today, when was the last time you conducted any financial activity using these registered accounts? "&amp;'brand name'!C3</f>
        <v>MM8.2.Apart from today, when was the last time you conducted any financial activity using these registered accounts? Dompetku</v>
      </c>
      <c r="C467" s="90" t="s">
        <v>625</v>
      </c>
      <c r="D467" s="53" t="s">
        <v>38</v>
      </c>
      <c r="E467" s="53">
        <v>1</v>
      </c>
      <c r="F467" s="53">
        <f t="shared" si="120"/>
        <v>806</v>
      </c>
      <c r="G467" s="53">
        <f t="shared" ref="G467:G490" si="124">G466+E467</f>
        <v>806</v>
      </c>
      <c r="H467" s="14" t="str">
        <f t="shared" si="122"/>
        <v>IF MM6_2=1</v>
      </c>
      <c r="I467" s="53" t="str">
        <f t="shared" si="123"/>
        <v>MM8_2</v>
      </c>
    </row>
    <row r="468" spans="1:9" s="3" customFormat="1" ht="76.5" x14ac:dyDescent="0.25">
      <c r="A468" s="53" t="s">
        <v>627</v>
      </c>
      <c r="B468" s="90" t="str">
        <f>A468&amp;".Apart from today, when was the last time you conducted any financial activity using these registered accounts? "&amp;'brand name'!C4</f>
        <v>MM8.3.Apart from today, when was the last time you conducted any financial activity using these registered accounts? E-Cash</v>
      </c>
      <c r="C468" s="90" t="s">
        <v>625</v>
      </c>
      <c r="D468" s="53" t="s">
        <v>38</v>
      </c>
      <c r="E468" s="53">
        <v>1</v>
      </c>
      <c r="F468" s="53">
        <f t="shared" si="120"/>
        <v>807</v>
      </c>
      <c r="G468" s="53">
        <f t="shared" si="124"/>
        <v>807</v>
      </c>
      <c r="H468" s="14" t="str">
        <f t="shared" si="122"/>
        <v>IF MM6_3=1</v>
      </c>
      <c r="I468" s="53" t="str">
        <f t="shared" si="123"/>
        <v>MM8_3</v>
      </c>
    </row>
    <row r="469" spans="1:9" s="3" customFormat="1" ht="76.5" x14ac:dyDescent="0.25">
      <c r="A469" s="53" t="s">
        <v>628</v>
      </c>
      <c r="B469" s="90" t="str">
        <f>A469&amp;".Apart from today, when was the last time you conducted any financial activity using these registered accounts? "&amp;'brand name'!C5</f>
        <v>MM8.4.Apart from today, when was the last time you conducted any financial activity using these registered accounts? MoCash</v>
      </c>
      <c r="C469" s="90" t="s">
        <v>625</v>
      </c>
      <c r="D469" s="53" t="s">
        <v>38</v>
      </c>
      <c r="E469" s="53">
        <v>1</v>
      </c>
      <c r="F469" s="53">
        <f t="shared" si="120"/>
        <v>808</v>
      </c>
      <c r="G469" s="53">
        <f t="shared" si="124"/>
        <v>808</v>
      </c>
      <c r="H469" s="14" t="str">
        <f t="shared" si="122"/>
        <v>IF MM6_4=1</v>
      </c>
      <c r="I469" s="53" t="str">
        <f t="shared" si="123"/>
        <v>MM8_4</v>
      </c>
    </row>
    <row r="470" spans="1:9" s="3" customFormat="1" ht="76.5" x14ac:dyDescent="0.25">
      <c r="A470" s="53" t="s">
        <v>629</v>
      </c>
      <c r="B470" s="90" t="str">
        <f>A470&amp;".Apart from today, when was the last time you conducted any financial activity using these registered accounts? "&amp;'brand name'!C6</f>
        <v>MM8.5.Apart from today, when was the last time you conducted any financial activity using these registered accounts? Rekening Ponsel</v>
      </c>
      <c r="C470" s="90" t="s">
        <v>625</v>
      </c>
      <c r="D470" s="53" t="s">
        <v>38</v>
      </c>
      <c r="E470" s="53">
        <v>1</v>
      </c>
      <c r="F470" s="53">
        <f t="shared" si="120"/>
        <v>809</v>
      </c>
      <c r="G470" s="53">
        <f t="shared" si="124"/>
        <v>809</v>
      </c>
      <c r="H470" s="14" t="str">
        <f t="shared" si="122"/>
        <v>IF MM6_5=1</v>
      </c>
      <c r="I470" s="53" t="str">
        <f t="shared" si="123"/>
        <v>MM8_5</v>
      </c>
    </row>
    <row r="471" spans="1:9" s="3" customFormat="1" ht="76.5" x14ac:dyDescent="0.25">
      <c r="A471" s="53" t="s">
        <v>630</v>
      </c>
      <c r="B471" s="90" t="str">
        <f>A471&amp;".Apart from today, when was the last time you conducted any financial activity using these registered accounts? "&amp;'brand name'!C7</f>
        <v>MM8.6.Apart from today, when was the last time you conducted any financial activity using these registered accounts? Skye</v>
      </c>
      <c r="C471" s="90" t="s">
        <v>625</v>
      </c>
      <c r="D471" s="53" t="s">
        <v>38</v>
      </c>
      <c r="E471" s="53">
        <v>1</v>
      </c>
      <c r="F471" s="53">
        <f t="shared" ref="F471:F476" si="125">G470+1</f>
        <v>810</v>
      </c>
      <c r="G471" s="53">
        <f t="shared" ref="G471:G476" si="126">G470+E471</f>
        <v>810</v>
      </c>
      <c r="H471" s="14" t="str">
        <f t="shared" si="122"/>
        <v>IF MM6_6=1</v>
      </c>
      <c r="I471" s="53" t="str">
        <f t="shared" si="123"/>
        <v>MM8_6</v>
      </c>
    </row>
    <row r="472" spans="1:9" s="3" customFormat="1" ht="76.5" x14ac:dyDescent="0.25">
      <c r="A472" s="53" t="s">
        <v>631</v>
      </c>
      <c r="B472" s="90" t="str">
        <f>A472&amp;".Apart from today, when was the last time you conducted any financial activity using these registered accounts? "&amp;'brand name'!C8</f>
        <v>MM8.7.Apart from today, when was the last time you conducted any financial activity using these registered accounts? T-Cash</v>
      </c>
      <c r="C472" s="90" t="s">
        <v>625</v>
      </c>
      <c r="D472" s="53" t="s">
        <v>38</v>
      </c>
      <c r="E472" s="53">
        <v>1</v>
      </c>
      <c r="F472" s="53">
        <f t="shared" si="125"/>
        <v>811</v>
      </c>
      <c r="G472" s="53">
        <f t="shared" si="126"/>
        <v>811</v>
      </c>
      <c r="H472" s="14" t="str">
        <f t="shared" si="122"/>
        <v>IF MM6_7=1</v>
      </c>
      <c r="I472" s="53" t="str">
        <f t="shared" si="123"/>
        <v>MM8_7</v>
      </c>
    </row>
    <row r="473" spans="1:9" s="3" customFormat="1" ht="76.5" x14ac:dyDescent="0.25">
      <c r="A473" s="53" t="s">
        <v>632</v>
      </c>
      <c r="B473" s="90" t="str">
        <f>A473&amp;".Apart from today, when was the last time you conducted any financial activity using these registered accounts? "&amp;'brand name'!C9</f>
        <v>MM8.8.Apart from today, when was the last time you conducted any financial activity using these registered accounts? XL Tunai</v>
      </c>
      <c r="C473" s="90" t="s">
        <v>625</v>
      </c>
      <c r="D473" s="53" t="s">
        <v>38</v>
      </c>
      <c r="E473" s="53">
        <v>1</v>
      </c>
      <c r="F473" s="53">
        <f t="shared" si="125"/>
        <v>812</v>
      </c>
      <c r="G473" s="53">
        <f t="shared" si="126"/>
        <v>812</v>
      </c>
      <c r="H473" s="14" t="str">
        <f t="shared" si="122"/>
        <v>IF MM6_8=1</v>
      </c>
      <c r="I473" s="53" t="str">
        <f t="shared" si="123"/>
        <v>MM8_8</v>
      </c>
    </row>
    <row r="474" spans="1:9" s="3" customFormat="1" ht="76.5" x14ac:dyDescent="0.25">
      <c r="A474" s="53" t="s">
        <v>633</v>
      </c>
      <c r="B474" s="90" t="str">
        <f>A474&amp;".Apart from today, when was the last time you conducted any financial activity using these registered accounts? "&amp;'brand name'!C10</f>
        <v>MM8.9.Apart from today, when was the last time you conducted any financial activity using these registered accounts? Sakuku</v>
      </c>
      <c r="C474" s="90" t="s">
        <v>625</v>
      </c>
      <c r="D474" s="53" t="s">
        <v>38</v>
      </c>
      <c r="E474" s="53">
        <v>1</v>
      </c>
      <c r="F474" s="53">
        <f t="shared" si="125"/>
        <v>813</v>
      </c>
      <c r="G474" s="53">
        <f t="shared" si="126"/>
        <v>813</v>
      </c>
      <c r="H474" s="14" t="str">
        <f t="shared" si="122"/>
        <v>IF MM6_9=1</v>
      </c>
      <c r="I474" s="53" t="str">
        <f t="shared" si="123"/>
        <v>MM8_9</v>
      </c>
    </row>
    <row r="475" spans="1:9" s="3" customFormat="1" ht="76.5" x14ac:dyDescent="0.25">
      <c r="A475" s="53" t="s">
        <v>634</v>
      </c>
      <c r="B475" s="90" t="str">
        <f>A475&amp;".Apart from today, when was the last time you conducted any financial activity using these registered accounts? "&amp;'brand name'!C11</f>
        <v>MM8.10.Apart from today, when was the last time you conducted any financial activity using these registered accounts? True Money</v>
      </c>
      <c r="C475" s="90" t="s">
        <v>625</v>
      </c>
      <c r="D475" s="53" t="s">
        <v>38</v>
      </c>
      <c r="E475" s="53">
        <v>1</v>
      </c>
      <c r="F475" s="53">
        <f t="shared" si="125"/>
        <v>814</v>
      </c>
      <c r="G475" s="53">
        <f t="shared" si="126"/>
        <v>814</v>
      </c>
      <c r="H475" s="14" t="str">
        <f t="shared" si="122"/>
        <v>IF MM6_10=1</v>
      </c>
      <c r="I475" s="53" t="str">
        <f>LEFT(A475,3)&amp;"_"&amp;RIGHT(A475,2)</f>
        <v>MM8_10</v>
      </c>
    </row>
    <row r="476" spans="1:9" s="3" customFormat="1" ht="76.5" x14ac:dyDescent="0.25">
      <c r="A476" s="53" t="s">
        <v>2376</v>
      </c>
      <c r="B476" s="90" t="str">
        <f>A476&amp;".Apart from today, when was the last time you conducted any financial activity using these registered accounts? "&amp;'brand name'!C12</f>
        <v>MM8.11.Apart from today, when was the last time you conducted any financial activity using these registered accounts? T-Bank</v>
      </c>
      <c r="C476" s="90" t="s">
        <v>625</v>
      </c>
      <c r="D476" s="53" t="s">
        <v>38</v>
      </c>
      <c r="E476" s="53">
        <v>1</v>
      </c>
      <c r="F476" s="53">
        <f t="shared" si="125"/>
        <v>815</v>
      </c>
      <c r="G476" s="53">
        <f t="shared" si="126"/>
        <v>815</v>
      </c>
      <c r="H476" s="14" t="str">
        <f t="shared" si="122"/>
        <v>IF MM6_11=1</v>
      </c>
      <c r="I476" s="53" t="str">
        <f>LEFT(A476,3)&amp;"_"&amp;RIGHT(A476,2)</f>
        <v>MM8_11</v>
      </c>
    </row>
    <row r="477" spans="1:9" s="3" customFormat="1" ht="76.5" x14ac:dyDescent="0.25">
      <c r="A477" s="53" t="s">
        <v>635</v>
      </c>
      <c r="B477" s="90" t="str">
        <f>A477&amp;".Apart from today, when was the last time you conducted any financial activity using these registered accounts? "&amp;'brand name'!C13</f>
        <v>MM8.96.Apart from today, when was the last time you conducted any financial activity using these registered accounts? Other(Specify)</v>
      </c>
      <c r="C477" s="90" t="s">
        <v>625</v>
      </c>
      <c r="D477" s="53" t="s">
        <v>38</v>
      </c>
      <c r="E477" s="53">
        <v>1</v>
      </c>
      <c r="F477" s="53">
        <f t="shared" ref="F477:F478" si="127">G476+1</f>
        <v>816</v>
      </c>
      <c r="G477" s="53">
        <f t="shared" ref="G477:G478" si="128">G476+E477</f>
        <v>816</v>
      </c>
      <c r="H477" s="14" t="str">
        <f t="shared" si="122"/>
        <v>IF MM6_96=1</v>
      </c>
      <c r="I477" s="53" t="str">
        <f>LEFT(A477,3)&amp;"_"&amp;RIGHT(A477,2)</f>
        <v>MM8_96</v>
      </c>
    </row>
    <row r="478" spans="1:9" s="3" customFormat="1" ht="63.75" x14ac:dyDescent="0.25">
      <c r="A478" s="53" t="s">
        <v>636</v>
      </c>
      <c r="B478" s="90" t="s">
        <v>637</v>
      </c>
      <c r="C478" s="90" t="s">
        <v>638</v>
      </c>
      <c r="D478" s="53" t="s">
        <v>38</v>
      </c>
      <c r="E478" s="53">
        <v>1</v>
      </c>
      <c r="F478" s="53">
        <f t="shared" si="127"/>
        <v>817</v>
      </c>
      <c r="G478" s="53">
        <f t="shared" si="128"/>
        <v>817</v>
      </c>
      <c r="H478" s="14" t="s">
        <v>2377</v>
      </c>
      <c r="I478" s="53" t="str">
        <f>A478</f>
        <v>MM9</v>
      </c>
    </row>
    <row r="479" spans="1:9" s="3" customFormat="1" ht="63.75" x14ac:dyDescent="0.25">
      <c r="A479" s="53" t="s">
        <v>639</v>
      </c>
      <c r="B479" s="90" t="s">
        <v>640</v>
      </c>
      <c r="C479" s="90" t="s">
        <v>641</v>
      </c>
      <c r="D479" s="53" t="s">
        <v>38</v>
      </c>
      <c r="E479" s="53">
        <v>1</v>
      </c>
      <c r="F479" s="53">
        <f t="shared" ref="F479:F484" si="129">G478+1</f>
        <v>818</v>
      </c>
      <c r="G479" s="53">
        <f t="shared" si="124"/>
        <v>818</v>
      </c>
      <c r="H479" s="14" t="s">
        <v>2377</v>
      </c>
      <c r="I479" s="53" t="str">
        <f>A479</f>
        <v>MM9A</v>
      </c>
    </row>
    <row r="480" spans="1:9" s="3" customFormat="1" ht="63.75" x14ac:dyDescent="0.25">
      <c r="A480" s="53" t="s">
        <v>2405</v>
      </c>
      <c r="B480" s="90" t="str">
        <f>A480&amp;".Have you experienced any of the following challenges when using mobile money? "&amp;Other!O2</f>
        <v>MM10A.1.Have you experienced any of the following challenges when using mobile money? Service system downtime</v>
      </c>
      <c r="C480" s="57" t="s">
        <v>142</v>
      </c>
      <c r="D480" s="53" t="s">
        <v>38</v>
      </c>
      <c r="E480" s="53">
        <v>1</v>
      </c>
      <c r="F480" s="53">
        <f t="shared" si="129"/>
        <v>819</v>
      </c>
      <c r="G480" s="53">
        <f t="shared" si="124"/>
        <v>819</v>
      </c>
      <c r="H480" s="14" t="s">
        <v>2377</v>
      </c>
      <c r="I480" s="53" t="str">
        <f>LEFT(A480,5)&amp;"_"&amp;RIGHT(A480,1)</f>
        <v>MM10A_1</v>
      </c>
    </row>
    <row r="481" spans="1:9" s="3" customFormat="1" ht="63.75" x14ac:dyDescent="0.25">
      <c r="A481" s="53" t="s">
        <v>2406</v>
      </c>
      <c r="B481" s="90" t="str">
        <f>A481&amp;".Have you experienced any of the following challenges when using mobile money? "&amp;Other!O3</f>
        <v>MM10A.2.Have you experienced any of the following challenges when using mobile money? Agent system downtime</v>
      </c>
      <c r="C481" s="57" t="s">
        <v>142</v>
      </c>
      <c r="D481" s="53" t="s">
        <v>38</v>
      </c>
      <c r="E481" s="53">
        <v>1</v>
      </c>
      <c r="F481" s="53">
        <f t="shared" si="129"/>
        <v>820</v>
      </c>
      <c r="G481" s="53">
        <f t="shared" si="124"/>
        <v>820</v>
      </c>
      <c r="H481" s="14" t="s">
        <v>2377</v>
      </c>
      <c r="I481" s="53" t="str">
        <f t="shared" ref="I481:I487" si="130">LEFT(A481,5)&amp;"_"&amp;RIGHT(A481,1)</f>
        <v>MM10A_2</v>
      </c>
    </row>
    <row r="482" spans="1:9" s="3" customFormat="1" ht="63.75" x14ac:dyDescent="0.25">
      <c r="A482" s="53" t="s">
        <v>2407</v>
      </c>
      <c r="B482" s="90" t="str">
        <f>A482&amp;".Have you experienced any of the following challenges when using mobile money? "&amp;Other!O4</f>
        <v>MM10A.3.Have you experienced any of the following challenges when using mobile money? Difficulty operating the phone/using menu</v>
      </c>
      <c r="C482" s="57" t="s">
        <v>142</v>
      </c>
      <c r="D482" s="53" t="s">
        <v>38</v>
      </c>
      <c r="E482" s="53">
        <v>1</v>
      </c>
      <c r="F482" s="53">
        <f t="shared" si="129"/>
        <v>821</v>
      </c>
      <c r="G482" s="53">
        <f t="shared" si="124"/>
        <v>821</v>
      </c>
      <c r="H482" s="14" t="s">
        <v>2377</v>
      </c>
      <c r="I482" s="53" t="str">
        <f t="shared" si="130"/>
        <v>MM10A_3</v>
      </c>
    </row>
    <row r="483" spans="1:9" s="3" customFormat="1" ht="63.75" x14ac:dyDescent="0.25">
      <c r="A483" s="53" t="s">
        <v>2408</v>
      </c>
      <c r="B483" s="90" t="str">
        <f>A483&amp;".Have you experienced any of the following challenges when using mobile money? "&amp;Other!O5</f>
        <v>MM10A.4.Have you experienced any of the following challenges when using mobile money? Unclear transaction charges/fees</v>
      </c>
      <c r="C483" s="57" t="s">
        <v>142</v>
      </c>
      <c r="D483" s="53" t="s">
        <v>38</v>
      </c>
      <c r="E483" s="53">
        <v>1</v>
      </c>
      <c r="F483" s="53">
        <f t="shared" si="129"/>
        <v>822</v>
      </c>
      <c r="G483" s="53">
        <f t="shared" si="124"/>
        <v>822</v>
      </c>
      <c r="H483" s="14" t="s">
        <v>2377</v>
      </c>
      <c r="I483" s="53" t="str">
        <f t="shared" si="130"/>
        <v>MM10A_4</v>
      </c>
    </row>
    <row r="484" spans="1:9" s="3" customFormat="1" ht="63.75" x14ac:dyDescent="0.25">
      <c r="A484" s="53" t="s">
        <v>2409</v>
      </c>
      <c r="B484" s="90" t="str">
        <f>A484&amp;".Have you experienced any of the following challenges when using mobile money? "&amp;Other!O6</f>
        <v>MM10A.5.Have you experienced any of the following challenges when using mobile money? Agent float/cash availability</v>
      </c>
      <c r="C484" s="57" t="s">
        <v>142</v>
      </c>
      <c r="D484" s="53" t="s">
        <v>38</v>
      </c>
      <c r="E484" s="53">
        <v>1</v>
      </c>
      <c r="F484" s="53">
        <f t="shared" si="129"/>
        <v>823</v>
      </c>
      <c r="G484" s="53">
        <f t="shared" si="124"/>
        <v>823</v>
      </c>
      <c r="H484" s="14" t="s">
        <v>2377</v>
      </c>
      <c r="I484" s="53" t="str">
        <f t="shared" si="130"/>
        <v>MM10A_5</v>
      </c>
    </row>
    <row r="485" spans="1:9" s="3" customFormat="1" ht="63.75" x14ac:dyDescent="0.25">
      <c r="A485" s="53" t="s">
        <v>2410</v>
      </c>
      <c r="B485" s="90" t="str">
        <f>A485&amp;".Have you experienced any of the following challenges when using mobile money? "&amp;Other!O7</f>
        <v>MM10A.6.Have you experienced any of the following challenges when using mobile money? Contacting customer care</v>
      </c>
      <c r="C485" s="57" t="s">
        <v>142</v>
      </c>
      <c r="D485" s="53" t="s">
        <v>38</v>
      </c>
      <c r="E485" s="53">
        <v>1</v>
      </c>
      <c r="F485" s="53">
        <f t="shared" ref="F485:F490" si="131">G484+1</f>
        <v>824</v>
      </c>
      <c r="G485" s="53">
        <f t="shared" si="124"/>
        <v>824</v>
      </c>
      <c r="H485" s="14" t="s">
        <v>2377</v>
      </c>
      <c r="I485" s="53" t="str">
        <f t="shared" si="130"/>
        <v>MM10A_6</v>
      </c>
    </row>
    <row r="486" spans="1:9" s="3" customFormat="1" ht="63.75" x14ac:dyDescent="0.25">
      <c r="A486" s="53" t="s">
        <v>2411</v>
      </c>
      <c r="B486" s="90" t="str">
        <f>A486&amp;".Have you experienced any of the following challenges when using mobile money? "&amp;Other!O8</f>
        <v>MM10A.7.Have you experienced any of the following challenges when using mobile money? Sending to a wrong number</v>
      </c>
      <c r="C486" s="57" t="s">
        <v>142</v>
      </c>
      <c r="D486" s="53" t="s">
        <v>38</v>
      </c>
      <c r="E486" s="53">
        <v>1</v>
      </c>
      <c r="F486" s="53">
        <f t="shared" si="131"/>
        <v>825</v>
      </c>
      <c r="G486" s="53">
        <f t="shared" si="124"/>
        <v>825</v>
      </c>
      <c r="H486" s="14" t="s">
        <v>2377</v>
      </c>
      <c r="I486" s="53" t="str">
        <f t="shared" si="130"/>
        <v>MM10A_7</v>
      </c>
    </row>
    <row r="487" spans="1:9" s="3" customFormat="1" ht="63.75" x14ac:dyDescent="0.25">
      <c r="A487" s="53" t="s">
        <v>2412</v>
      </c>
      <c r="B487" s="90" t="str">
        <f>A487&amp;".Have you experienced any of the following challenges when using mobile money? "&amp;Other!O9</f>
        <v>MM10A.8.Have you experienced any of the following challenges when using mobile money? Family/friends stealing money</v>
      </c>
      <c r="C487" s="57" t="s">
        <v>142</v>
      </c>
      <c r="D487" s="53" t="s">
        <v>38</v>
      </c>
      <c r="E487" s="53">
        <v>1</v>
      </c>
      <c r="F487" s="53">
        <f t="shared" si="131"/>
        <v>826</v>
      </c>
      <c r="G487" s="53">
        <f t="shared" si="124"/>
        <v>826</v>
      </c>
      <c r="H487" s="14" t="s">
        <v>2377</v>
      </c>
      <c r="I487" s="53" t="str">
        <f t="shared" si="130"/>
        <v>MM10A_8</v>
      </c>
    </row>
    <row r="488" spans="1:9" s="3" customFormat="1" ht="63.75" x14ac:dyDescent="0.25">
      <c r="A488" s="53" t="s">
        <v>2413</v>
      </c>
      <c r="B488" s="90" t="str">
        <f>A488&amp;".Have you experienced any of the following challenges when using mobile money? "&amp;Other!O10</f>
        <v>MM10A.9.Have you experienced any of the following challenges when using mobile money? Other (specify)</v>
      </c>
      <c r="C488" s="57" t="s">
        <v>142</v>
      </c>
      <c r="D488" s="53" t="s">
        <v>38</v>
      </c>
      <c r="E488" s="53">
        <v>1</v>
      </c>
      <c r="F488" s="53">
        <f t="shared" si="131"/>
        <v>827</v>
      </c>
      <c r="G488" s="53">
        <f t="shared" si="124"/>
        <v>827</v>
      </c>
      <c r="H488" s="14" t="s">
        <v>2377</v>
      </c>
      <c r="I488" s="53" t="str">
        <f>LEFT(A488,5)&amp;"_"&amp;RIGHT(A488,2)</f>
        <v>MM10A_.9</v>
      </c>
    </row>
    <row r="489" spans="1:9" ht="63.75" x14ac:dyDescent="0.25">
      <c r="A489" s="53" t="s">
        <v>2414</v>
      </c>
      <c r="B489" s="90" t="str">
        <f>A489&amp;".Have you experienced any of the following challenges when using mobile money? "&amp;Other!O11</f>
        <v>MM10A.10.Have you experienced any of the following challenges when using mobile money? DK</v>
      </c>
      <c r="C489" s="57" t="s">
        <v>142</v>
      </c>
      <c r="D489" s="53" t="s">
        <v>38</v>
      </c>
      <c r="E489" s="53">
        <v>1</v>
      </c>
      <c r="F489" s="53">
        <f t="shared" si="131"/>
        <v>828</v>
      </c>
      <c r="G489" s="53">
        <f t="shared" si="124"/>
        <v>828</v>
      </c>
      <c r="H489" s="14" t="s">
        <v>2377</v>
      </c>
      <c r="I489" s="53" t="str">
        <f>LEFT(A489,5)&amp;"_"&amp;RIGHT(A489,2)</f>
        <v>MM10A_10</v>
      </c>
    </row>
    <row r="490" spans="1:9" ht="140.25" x14ac:dyDescent="0.25">
      <c r="A490" s="53" t="s">
        <v>642</v>
      </c>
      <c r="B490" s="90" t="s">
        <v>643</v>
      </c>
      <c r="C490" s="91" t="s">
        <v>644</v>
      </c>
      <c r="D490" s="53" t="s">
        <v>38</v>
      </c>
      <c r="E490" s="53">
        <v>2</v>
      </c>
      <c r="F490" s="53">
        <f t="shared" si="131"/>
        <v>829</v>
      </c>
      <c r="G490" s="53">
        <f t="shared" si="124"/>
        <v>830</v>
      </c>
      <c r="H490" s="14" t="s">
        <v>645</v>
      </c>
      <c r="I490" s="53" t="str">
        <f>A490</f>
        <v>MM10B</v>
      </c>
    </row>
    <row r="491" spans="1:9" s="3" customFormat="1" x14ac:dyDescent="0.25">
      <c r="A491" s="121" t="s">
        <v>646</v>
      </c>
      <c r="B491" s="122" t="s">
        <v>451</v>
      </c>
      <c r="C491" s="122" t="s">
        <v>451</v>
      </c>
      <c r="D491" s="122" t="s">
        <v>451</v>
      </c>
      <c r="E491" s="122" t="s">
        <v>451</v>
      </c>
      <c r="F491" s="122" t="s">
        <v>451</v>
      </c>
      <c r="G491" s="122" t="s">
        <v>451</v>
      </c>
      <c r="H491" s="122" t="s">
        <v>451</v>
      </c>
      <c r="I491" s="123" t="s">
        <v>451</v>
      </c>
    </row>
    <row r="492" spans="1:9" s="3" customFormat="1" x14ac:dyDescent="0.25">
      <c r="A492" s="51" t="s">
        <v>4</v>
      </c>
      <c r="B492" s="52" t="s">
        <v>5</v>
      </c>
      <c r="C492" s="52" t="s">
        <v>6</v>
      </c>
      <c r="D492" s="51" t="s">
        <v>7</v>
      </c>
      <c r="E492" s="51" t="s">
        <v>8</v>
      </c>
      <c r="F492" s="51" t="s">
        <v>9</v>
      </c>
      <c r="G492" s="51" t="s">
        <v>10</v>
      </c>
      <c r="H492" s="52" t="s">
        <v>11</v>
      </c>
      <c r="I492" s="51" t="s">
        <v>12</v>
      </c>
    </row>
    <row r="493" spans="1:9" s="3" customFormat="1" ht="25.5" x14ac:dyDescent="0.25">
      <c r="A493" s="53" t="s">
        <v>647</v>
      </c>
      <c r="B493" s="90" t="str">
        <f>A493&amp;".How do you usually access this mobile money service..."&amp;'brand name'!$C$2&amp;"? "&amp;Other!P2</f>
        <v>MM11.1.1.How do you usually access this mobile money service...BBM Money? Over the counter or by using an agent’s account</v>
      </c>
      <c r="C493" s="57" t="s">
        <v>142</v>
      </c>
      <c r="D493" s="53" t="s">
        <v>38</v>
      </c>
      <c r="E493" s="53">
        <v>1</v>
      </c>
      <c r="F493" s="53">
        <f>G490+1</f>
        <v>831</v>
      </c>
      <c r="G493" s="53">
        <f>G490+E493</f>
        <v>831</v>
      </c>
      <c r="H493" s="14" t="str">
        <f>"IF "&amp;I406&amp;"=1"</f>
        <v>IF MM4_1=1</v>
      </c>
      <c r="I493" s="53" t="str">
        <f t="shared" ref="I493:I541" si="132">SUBSTITUTE(A493, ".", "_")</f>
        <v>MM11_1_1</v>
      </c>
    </row>
    <row r="494" spans="1:9" s="3" customFormat="1" ht="25.5" x14ac:dyDescent="0.25">
      <c r="A494" s="53" t="s">
        <v>648</v>
      </c>
      <c r="B494" s="90" t="str">
        <f>A494&amp;".How do you usually access this mobile money service..."&amp;'brand name'!$C$2&amp;"? "&amp;Other!P3</f>
        <v>MM11.1.2.How do you usually access this mobile money service...BBM Money? Account of a family member in this household</v>
      </c>
      <c r="C494" s="57" t="s">
        <v>142</v>
      </c>
      <c r="D494" s="53" t="s">
        <v>38</v>
      </c>
      <c r="E494" s="53">
        <v>1</v>
      </c>
      <c r="F494" s="53">
        <f t="shared" ref="F494:F511" si="133">G493+1</f>
        <v>832</v>
      </c>
      <c r="G494" s="53">
        <f>G493+E494</f>
        <v>832</v>
      </c>
      <c r="H494" s="14" t="s">
        <v>649</v>
      </c>
      <c r="I494" s="53" t="str">
        <f t="shared" si="132"/>
        <v>MM11_1_2</v>
      </c>
    </row>
    <row r="495" spans="1:9" s="3" customFormat="1" ht="38.25" x14ac:dyDescent="0.25">
      <c r="A495" s="53" t="s">
        <v>650</v>
      </c>
      <c r="B495" s="90" t="str">
        <f>A495&amp;".How do you usually access this mobile money service..."&amp;'brand name'!$C$2&amp;"? "&amp;Other!P4</f>
        <v>MM11.1.3.How do you usually access this mobile money service...BBM Money? Account of a family member in another household, other relative, friend or a neighbor</v>
      </c>
      <c r="C495" s="57" t="s">
        <v>142</v>
      </c>
      <c r="D495" s="53" t="s">
        <v>38</v>
      </c>
      <c r="E495" s="53">
        <v>1</v>
      </c>
      <c r="F495" s="53">
        <f t="shared" si="133"/>
        <v>833</v>
      </c>
      <c r="G495" s="53">
        <f>G494+E495</f>
        <v>833</v>
      </c>
      <c r="H495" s="14" t="s">
        <v>649</v>
      </c>
      <c r="I495" s="53" t="str">
        <f t="shared" si="132"/>
        <v>MM11_1_3</v>
      </c>
    </row>
    <row r="496" spans="1:9" s="3" customFormat="1" ht="25.5" x14ac:dyDescent="0.25">
      <c r="A496" s="53" t="s">
        <v>651</v>
      </c>
      <c r="B496" s="90" t="str">
        <f>A496&amp;".How do you usually access this mobile money service..."&amp;'brand name'!$C$2&amp;"? "&amp;Other!P5</f>
        <v>MM11.1.4.How do you usually access this mobile money service...BBM Money? Account of a workmate or a business partner</v>
      </c>
      <c r="C496" s="57" t="s">
        <v>142</v>
      </c>
      <c r="D496" s="53" t="s">
        <v>38</v>
      </c>
      <c r="E496" s="53">
        <v>1</v>
      </c>
      <c r="F496" s="53">
        <f t="shared" si="133"/>
        <v>834</v>
      </c>
      <c r="G496" s="53">
        <f t="shared" ref="G496:G534" si="134">G495+E496</f>
        <v>834</v>
      </c>
      <c r="H496" s="14" t="s">
        <v>649</v>
      </c>
      <c r="I496" s="53" t="str">
        <f t="shared" si="132"/>
        <v>MM11_1_4</v>
      </c>
    </row>
    <row r="497" spans="1:9" s="3" customFormat="1" ht="25.5" x14ac:dyDescent="0.25">
      <c r="A497" s="53" t="s">
        <v>652</v>
      </c>
      <c r="B497" s="90" t="str">
        <f>A497&amp;".How do you usually access this mobile money service..."&amp;'brand name'!$C$2&amp;"? "&amp;Other!P6</f>
        <v>MM11.1.5.How do you usually access this mobile money service...BBM Money? My own account</v>
      </c>
      <c r="C497" s="57" t="s">
        <v>142</v>
      </c>
      <c r="D497" s="53" t="s">
        <v>38</v>
      </c>
      <c r="E497" s="53">
        <v>1</v>
      </c>
      <c r="F497" s="53">
        <f t="shared" si="133"/>
        <v>835</v>
      </c>
      <c r="G497" s="53">
        <f t="shared" si="134"/>
        <v>835</v>
      </c>
      <c r="H497" s="14" t="s">
        <v>649</v>
      </c>
      <c r="I497" s="53" t="str">
        <f t="shared" si="132"/>
        <v>MM11_1_5</v>
      </c>
    </row>
    <row r="498" spans="1:9" s="3" customFormat="1" ht="25.5" x14ac:dyDescent="0.25">
      <c r="A498" s="53" t="s">
        <v>653</v>
      </c>
      <c r="B498" s="90" t="str">
        <f>A498&amp;".How do you usually access this mobile money service..."&amp;'brand name'!$C$2&amp;"? "&amp;Other!P7</f>
        <v>MM11.1.6.How do you usually access this mobile money service...BBM Money? ATM</v>
      </c>
      <c r="C498" s="57" t="s">
        <v>142</v>
      </c>
      <c r="D498" s="53" t="s">
        <v>38</v>
      </c>
      <c r="E498" s="53">
        <v>1</v>
      </c>
      <c r="F498" s="53">
        <f t="shared" si="133"/>
        <v>836</v>
      </c>
      <c r="G498" s="53">
        <f t="shared" si="134"/>
        <v>836</v>
      </c>
      <c r="H498" s="14" t="s">
        <v>649</v>
      </c>
      <c r="I498" s="53" t="str">
        <f t="shared" si="132"/>
        <v>MM11_1_6</v>
      </c>
    </row>
    <row r="499" spans="1:9" s="3" customFormat="1" ht="25.5" x14ac:dyDescent="0.25">
      <c r="A499" s="53" t="s">
        <v>654</v>
      </c>
      <c r="B499" s="90" t="str">
        <f>A499&amp;".How do you usually access this mobile money service..."&amp;'brand name'!$C$2&amp;"? "&amp;Other!P8</f>
        <v>MM11.1.96.How do you usually access this mobile money service...BBM Money? Other (Specify)</v>
      </c>
      <c r="C499" s="57" t="s">
        <v>142</v>
      </c>
      <c r="D499" s="53" t="s">
        <v>38</v>
      </c>
      <c r="E499" s="53">
        <v>1</v>
      </c>
      <c r="F499" s="53">
        <f t="shared" si="133"/>
        <v>837</v>
      </c>
      <c r="G499" s="53">
        <f t="shared" si="134"/>
        <v>837</v>
      </c>
      <c r="H499" s="14" t="s">
        <v>649</v>
      </c>
      <c r="I499" s="53" t="str">
        <f t="shared" si="132"/>
        <v>MM11_1_96</v>
      </c>
    </row>
    <row r="500" spans="1:9" s="3" customFormat="1" ht="25.5" x14ac:dyDescent="0.25">
      <c r="A500" s="53" t="s">
        <v>655</v>
      </c>
      <c r="B500" s="90" t="str">
        <f>A500&amp;".How do you usually access this mobile money service..."&amp;'brand name'!$C$3&amp;"? "&amp;Other!P2</f>
        <v>MM11.2.1.How do you usually access this mobile money service...Dompetku? Over the counter or by using an agent’s account</v>
      </c>
      <c r="C500" s="57" t="s">
        <v>142</v>
      </c>
      <c r="D500" s="53" t="s">
        <v>38</v>
      </c>
      <c r="E500" s="53">
        <v>1</v>
      </c>
      <c r="F500" s="53">
        <f t="shared" si="133"/>
        <v>838</v>
      </c>
      <c r="G500" s="53">
        <f t="shared" si="134"/>
        <v>838</v>
      </c>
      <c r="H500" s="14" t="str">
        <f>"IF "&amp;I407&amp;"=1"</f>
        <v>IF MM4_2=1</v>
      </c>
      <c r="I500" s="53" t="str">
        <f t="shared" si="132"/>
        <v>MM11_2_1</v>
      </c>
    </row>
    <row r="501" spans="1:9" s="3" customFormat="1" ht="25.5" x14ac:dyDescent="0.25">
      <c r="A501" s="53" t="s">
        <v>656</v>
      </c>
      <c r="B501" s="90" t="str">
        <f>A501&amp;".How do you usually access this mobile money service..."&amp;'brand name'!$C$3&amp;"? "&amp;Other!P3</f>
        <v>MM11.2.2.How do you usually access this mobile money service...Dompetku? Account of a family member in this household</v>
      </c>
      <c r="C501" s="57" t="s">
        <v>142</v>
      </c>
      <c r="D501" s="53" t="s">
        <v>38</v>
      </c>
      <c r="E501" s="53">
        <v>1</v>
      </c>
      <c r="F501" s="53">
        <f t="shared" si="133"/>
        <v>839</v>
      </c>
      <c r="G501" s="53">
        <f t="shared" si="134"/>
        <v>839</v>
      </c>
      <c r="H501" s="92" t="s">
        <v>657</v>
      </c>
      <c r="I501" s="53" t="str">
        <f t="shared" si="132"/>
        <v>MM11_2_2</v>
      </c>
    </row>
    <row r="502" spans="1:9" s="3" customFormat="1" ht="38.25" x14ac:dyDescent="0.25">
      <c r="A502" s="53" t="s">
        <v>658</v>
      </c>
      <c r="B502" s="90" t="str">
        <f>A502&amp;".How do you usually access this mobile money service..."&amp;'brand name'!$C$3&amp;"? "&amp;Other!P4</f>
        <v>MM11.2.3.How do you usually access this mobile money service...Dompetku? Account of a family member in another household, other relative, friend or a neighbor</v>
      </c>
      <c r="C502" s="57" t="s">
        <v>142</v>
      </c>
      <c r="D502" s="53" t="s">
        <v>38</v>
      </c>
      <c r="E502" s="53">
        <v>1</v>
      </c>
      <c r="F502" s="53">
        <f t="shared" si="133"/>
        <v>840</v>
      </c>
      <c r="G502" s="53">
        <f t="shared" si="134"/>
        <v>840</v>
      </c>
      <c r="H502" s="92" t="s">
        <v>657</v>
      </c>
      <c r="I502" s="53" t="str">
        <f t="shared" si="132"/>
        <v>MM11_2_3</v>
      </c>
    </row>
    <row r="503" spans="1:9" s="3" customFormat="1" ht="25.5" x14ac:dyDescent="0.25">
      <c r="A503" s="53" t="s">
        <v>659</v>
      </c>
      <c r="B503" s="90" t="str">
        <f>A503&amp;".How do you usually access this mobile money service..."&amp;'brand name'!$C$3&amp;"? "&amp;Other!P5</f>
        <v>MM11.2.4.How do you usually access this mobile money service...Dompetku? Account of a workmate or a business partner</v>
      </c>
      <c r="C503" s="57" t="s">
        <v>142</v>
      </c>
      <c r="D503" s="53" t="s">
        <v>38</v>
      </c>
      <c r="E503" s="53">
        <v>1</v>
      </c>
      <c r="F503" s="53">
        <f t="shared" si="133"/>
        <v>841</v>
      </c>
      <c r="G503" s="53">
        <f t="shared" si="134"/>
        <v>841</v>
      </c>
      <c r="H503" s="92" t="s">
        <v>657</v>
      </c>
      <c r="I503" s="53" t="str">
        <f t="shared" si="132"/>
        <v>MM11_2_4</v>
      </c>
    </row>
    <row r="504" spans="1:9" s="3" customFormat="1" ht="25.5" x14ac:dyDescent="0.25">
      <c r="A504" s="53" t="s">
        <v>660</v>
      </c>
      <c r="B504" s="90" t="str">
        <f>A504&amp;".How do you usually access this mobile money service..."&amp;'brand name'!$C$3&amp;"? "&amp;Other!P6</f>
        <v>MM11.2.5.How do you usually access this mobile money service...Dompetku? My own account</v>
      </c>
      <c r="C504" s="57" t="s">
        <v>142</v>
      </c>
      <c r="D504" s="53" t="s">
        <v>38</v>
      </c>
      <c r="E504" s="53">
        <v>1</v>
      </c>
      <c r="F504" s="53">
        <f t="shared" si="133"/>
        <v>842</v>
      </c>
      <c r="G504" s="53">
        <f t="shared" si="134"/>
        <v>842</v>
      </c>
      <c r="H504" s="92" t="s">
        <v>657</v>
      </c>
      <c r="I504" s="53" t="str">
        <f t="shared" si="132"/>
        <v>MM11_2_5</v>
      </c>
    </row>
    <row r="505" spans="1:9" s="3" customFormat="1" ht="25.5" x14ac:dyDescent="0.25">
      <c r="A505" s="53" t="s">
        <v>661</v>
      </c>
      <c r="B505" s="90" t="str">
        <f>A505&amp;".How do you usually access this mobile money service..."&amp;'brand name'!$C$3&amp;"? "&amp;Other!P7</f>
        <v>MM11.2.6.How do you usually access this mobile money service...Dompetku? ATM</v>
      </c>
      <c r="C505" s="57" t="s">
        <v>142</v>
      </c>
      <c r="D505" s="53" t="s">
        <v>38</v>
      </c>
      <c r="E505" s="53">
        <v>1</v>
      </c>
      <c r="F505" s="53">
        <f t="shared" si="133"/>
        <v>843</v>
      </c>
      <c r="G505" s="53">
        <f t="shared" si="134"/>
        <v>843</v>
      </c>
      <c r="H505" s="92" t="s">
        <v>657</v>
      </c>
      <c r="I505" s="53" t="str">
        <f t="shared" si="132"/>
        <v>MM11_2_6</v>
      </c>
    </row>
    <row r="506" spans="1:9" s="3" customFormat="1" ht="25.5" x14ac:dyDescent="0.25">
      <c r="A506" s="53" t="s">
        <v>662</v>
      </c>
      <c r="B506" s="90" t="str">
        <f>A506&amp;".How do you usually access this mobile money service..."&amp;'brand name'!$C$3&amp;"? "&amp;Other!P8</f>
        <v>MM11.2.96.How do you usually access this mobile money service...Dompetku? Other (Specify)</v>
      </c>
      <c r="C506" s="57" t="s">
        <v>142</v>
      </c>
      <c r="D506" s="53" t="s">
        <v>38</v>
      </c>
      <c r="E506" s="53">
        <v>1</v>
      </c>
      <c r="F506" s="53">
        <f t="shared" si="133"/>
        <v>844</v>
      </c>
      <c r="G506" s="53">
        <f t="shared" si="134"/>
        <v>844</v>
      </c>
      <c r="H506" s="92" t="s">
        <v>657</v>
      </c>
      <c r="I506" s="53" t="str">
        <f>SUBSTITUTE(A506, ".", "_")</f>
        <v>MM11_2_96</v>
      </c>
    </row>
    <row r="507" spans="1:9" s="3" customFormat="1" ht="25.5" x14ac:dyDescent="0.25">
      <c r="A507" s="53" t="s">
        <v>663</v>
      </c>
      <c r="B507" s="90" t="str">
        <f>A507&amp;".How do you usually access this mobile money service..."&amp;'brand name'!$C$4&amp;"? "&amp;Other!P2</f>
        <v>MM11.3.1.How do you usually access this mobile money service...E-Cash? Over the counter or by using an agent’s account</v>
      </c>
      <c r="C507" s="57" t="s">
        <v>142</v>
      </c>
      <c r="D507" s="53" t="s">
        <v>38</v>
      </c>
      <c r="E507" s="53">
        <v>1</v>
      </c>
      <c r="F507" s="53">
        <f t="shared" si="133"/>
        <v>845</v>
      </c>
      <c r="G507" s="53">
        <f t="shared" si="134"/>
        <v>845</v>
      </c>
      <c r="H507" s="92" t="s">
        <v>664</v>
      </c>
      <c r="I507" s="53" t="str">
        <f t="shared" si="132"/>
        <v>MM11_3_1</v>
      </c>
    </row>
    <row r="508" spans="1:9" s="3" customFormat="1" ht="25.5" x14ac:dyDescent="0.25">
      <c r="A508" s="53" t="s">
        <v>665</v>
      </c>
      <c r="B508" s="90" t="str">
        <f>A508&amp;".How do you usually access this mobile money service..."&amp;'brand name'!$C$4&amp;"? "&amp;Other!P3</f>
        <v>MM11.3.2.How do you usually access this mobile money service...E-Cash? Account of a family member in this household</v>
      </c>
      <c r="C508" s="57" t="s">
        <v>142</v>
      </c>
      <c r="D508" s="53" t="s">
        <v>38</v>
      </c>
      <c r="E508" s="53">
        <v>1</v>
      </c>
      <c r="F508" s="53">
        <f t="shared" si="133"/>
        <v>846</v>
      </c>
      <c r="G508" s="53">
        <f t="shared" si="134"/>
        <v>846</v>
      </c>
      <c r="H508" s="92" t="s">
        <v>664</v>
      </c>
      <c r="I508" s="53" t="str">
        <f t="shared" si="132"/>
        <v>MM11_3_2</v>
      </c>
    </row>
    <row r="509" spans="1:9" s="3" customFormat="1" ht="38.25" x14ac:dyDescent="0.25">
      <c r="A509" s="53" t="s">
        <v>666</v>
      </c>
      <c r="B509" s="90" t="str">
        <f>A509&amp;".How do you usually access this mobile money service..."&amp;'brand name'!$C$4&amp;"? "&amp;Other!P4</f>
        <v>MM11.3.3.How do you usually access this mobile money service...E-Cash? Account of a family member in another household, other relative, friend or a neighbor</v>
      </c>
      <c r="C509" s="57" t="s">
        <v>142</v>
      </c>
      <c r="D509" s="53" t="s">
        <v>38</v>
      </c>
      <c r="E509" s="53">
        <v>1</v>
      </c>
      <c r="F509" s="53">
        <f t="shared" si="133"/>
        <v>847</v>
      </c>
      <c r="G509" s="53">
        <f t="shared" si="134"/>
        <v>847</v>
      </c>
      <c r="H509" s="92" t="s">
        <v>664</v>
      </c>
      <c r="I509" s="53" t="str">
        <f t="shared" si="132"/>
        <v>MM11_3_3</v>
      </c>
    </row>
    <row r="510" spans="1:9" s="3" customFormat="1" ht="25.5" x14ac:dyDescent="0.25">
      <c r="A510" s="53" t="s">
        <v>667</v>
      </c>
      <c r="B510" s="90" t="str">
        <f>A510&amp;".How do you usually access this mobile money service..."&amp;'brand name'!$C$4&amp;"? "&amp;Other!P5</f>
        <v>MM11.3.4.How do you usually access this mobile money service...E-Cash? Account of a workmate or a business partner</v>
      </c>
      <c r="C510" s="57" t="s">
        <v>142</v>
      </c>
      <c r="D510" s="53" t="s">
        <v>38</v>
      </c>
      <c r="E510" s="53">
        <v>1</v>
      </c>
      <c r="F510" s="53">
        <f t="shared" si="133"/>
        <v>848</v>
      </c>
      <c r="G510" s="53">
        <f t="shared" si="134"/>
        <v>848</v>
      </c>
      <c r="H510" s="92" t="s">
        <v>664</v>
      </c>
      <c r="I510" s="53" t="str">
        <f t="shared" si="132"/>
        <v>MM11_3_4</v>
      </c>
    </row>
    <row r="511" spans="1:9" s="3" customFormat="1" ht="25.5" x14ac:dyDescent="0.25">
      <c r="A511" s="53" t="s">
        <v>668</v>
      </c>
      <c r="B511" s="90" t="str">
        <f>A511&amp;".How do you usually access this mobile money service..."&amp;'brand name'!$C$4&amp;"? "&amp;Other!P6</f>
        <v>MM11.3.5.How do you usually access this mobile money service...E-Cash? My own account</v>
      </c>
      <c r="C511" s="57" t="s">
        <v>142</v>
      </c>
      <c r="D511" s="53" t="s">
        <v>38</v>
      </c>
      <c r="E511" s="53">
        <v>1</v>
      </c>
      <c r="F511" s="53">
        <f t="shared" si="133"/>
        <v>849</v>
      </c>
      <c r="G511" s="53">
        <f t="shared" si="134"/>
        <v>849</v>
      </c>
      <c r="H511" s="92" t="s">
        <v>664</v>
      </c>
      <c r="I511" s="53" t="str">
        <f t="shared" si="132"/>
        <v>MM11_3_5</v>
      </c>
    </row>
    <row r="512" spans="1:9" s="3" customFormat="1" ht="25.5" x14ac:dyDescent="0.25">
      <c r="A512" s="53" t="s">
        <v>669</v>
      </c>
      <c r="B512" s="90" t="str">
        <f>A512&amp;".How do you usually access this mobile money service..."&amp;'brand name'!$C$4&amp;"? "&amp;Other!P7</f>
        <v>MM11.3.6.How do you usually access this mobile money service...E-Cash? ATM</v>
      </c>
      <c r="C512" s="57" t="s">
        <v>142</v>
      </c>
      <c r="D512" s="53" t="s">
        <v>38</v>
      </c>
      <c r="E512" s="53">
        <v>1</v>
      </c>
      <c r="F512" s="53">
        <f t="shared" ref="F512:F534" si="135">G511+1</f>
        <v>850</v>
      </c>
      <c r="G512" s="53">
        <f t="shared" si="134"/>
        <v>850</v>
      </c>
      <c r="H512" s="92" t="s">
        <v>664</v>
      </c>
      <c r="I512" s="53" t="str">
        <f t="shared" si="132"/>
        <v>MM11_3_6</v>
      </c>
    </row>
    <row r="513" spans="1:9" s="3" customFormat="1" ht="25.5" x14ac:dyDescent="0.25">
      <c r="A513" s="53" t="s">
        <v>670</v>
      </c>
      <c r="B513" s="90" t="str">
        <f>A513&amp;".How do you usually access this mobile money service..."&amp;'brand name'!$C$4&amp;"? "&amp;Other!P8</f>
        <v>MM11.3.96.How do you usually access this mobile money service...E-Cash? Other (Specify)</v>
      </c>
      <c r="C513" s="57" t="s">
        <v>142</v>
      </c>
      <c r="D513" s="53" t="s">
        <v>38</v>
      </c>
      <c r="E513" s="53">
        <v>1</v>
      </c>
      <c r="F513" s="53">
        <f t="shared" si="135"/>
        <v>851</v>
      </c>
      <c r="G513" s="53">
        <f t="shared" si="134"/>
        <v>851</v>
      </c>
      <c r="H513" s="92" t="s">
        <v>664</v>
      </c>
      <c r="I513" s="53" t="str">
        <f t="shared" si="132"/>
        <v>MM11_3_96</v>
      </c>
    </row>
    <row r="514" spans="1:9" s="3" customFormat="1" ht="25.5" x14ac:dyDescent="0.25">
      <c r="A514" s="53" t="s">
        <v>671</v>
      </c>
      <c r="B514" s="90" t="str">
        <f>A514&amp;".How do you usually access this mobile money service..."&amp;'brand name'!$C$5&amp;"? "&amp;Other!P2</f>
        <v>MM11.4.1.How do you usually access this mobile money service...MoCash? Over the counter or by using an agent’s account</v>
      </c>
      <c r="C514" s="57" t="s">
        <v>142</v>
      </c>
      <c r="D514" s="53" t="s">
        <v>38</v>
      </c>
      <c r="E514" s="53">
        <v>1</v>
      </c>
      <c r="F514" s="53">
        <f t="shared" si="135"/>
        <v>852</v>
      </c>
      <c r="G514" s="53">
        <f t="shared" si="134"/>
        <v>852</v>
      </c>
      <c r="H514" s="92" t="s">
        <v>672</v>
      </c>
      <c r="I514" s="53" t="str">
        <f t="shared" si="132"/>
        <v>MM11_4_1</v>
      </c>
    </row>
    <row r="515" spans="1:9" s="3" customFormat="1" ht="25.5" x14ac:dyDescent="0.25">
      <c r="A515" s="53" t="s">
        <v>673</v>
      </c>
      <c r="B515" s="90" t="str">
        <f>A515&amp;".How do you usually access this mobile money service..."&amp;'brand name'!$C$5&amp;"? "&amp;Other!P3</f>
        <v>MM11.4.2.How do you usually access this mobile money service...MoCash? Account of a family member in this household</v>
      </c>
      <c r="C515" s="57" t="s">
        <v>142</v>
      </c>
      <c r="D515" s="53" t="s">
        <v>38</v>
      </c>
      <c r="E515" s="53">
        <v>1</v>
      </c>
      <c r="F515" s="53">
        <f t="shared" si="135"/>
        <v>853</v>
      </c>
      <c r="G515" s="53">
        <f t="shared" si="134"/>
        <v>853</v>
      </c>
      <c r="H515" s="92" t="s">
        <v>672</v>
      </c>
      <c r="I515" s="53" t="str">
        <f t="shared" si="132"/>
        <v>MM11_4_2</v>
      </c>
    </row>
    <row r="516" spans="1:9" s="3" customFormat="1" ht="38.25" x14ac:dyDescent="0.25">
      <c r="A516" s="53" t="s">
        <v>674</v>
      </c>
      <c r="B516" s="90" t="str">
        <f>A516&amp;".How do you usually access this mobile money service..."&amp;'brand name'!$C$5&amp;"? "&amp;Other!P4</f>
        <v>MM11.4.3.How do you usually access this mobile money service...MoCash? Account of a family member in another household, other relative, friend or a neighbor</v>
      </c>
      <c r="C516" s="57" t="s">
        <v>142</v>
      </c>
      <c r="D516" s="53" t="s">
        <v>38</v>
      </c>
      <c r="E516" s="53">
        <v>1</v>
      </c>
      <c r="F516" s="53">
        <f t="shared" si="135"/>
        <v>854</v>
      </c>
      <c r="G516" s="53">
        <f t="shared" si="134"/>
        <v>854</v>
      </c>
      <c r="H516" s="92" t="s">
        <v>672</v>
      </c>
      <c r="I516" s="53" t="str">
        <f t="shared" si="132"/>
        <v>MM11_4_3</v>
      </c>
    </row>
    <row r="517" spans="1:9" s="3" customFormat="1" ht="25.5" x14ac:dyDescent="0.25">
      <c r="A517" s="53" t="s">
        <v>675</v>
      </c>
      <c r="B517" s="90" t="str">
        <f>A517&amp;".How do you usually access this mobile money service..."&amp;'brand name'!$C$5&amp;"? "&amp;Other!P5</f>
        <v>MM11.4.4.How do you usually access this mobile money service...MoCash? Account of a workmate or a business partner</v>
      </c>
      <c r="C517" s="57" t="s">
        <v>142</v>
      </c>
      <c r="D517" s="53" t="s">
        <v>38</v>
      </c>
      <c r="E517" s="53">
        <v>1</v>
      </c>
      <c r="F517" s="53">
        <f t="shared" si="135"/>
        <v>855</v>
      </c>
      <c r="G517" s="53">
        <f t="shared" si="134"/>
        <v>855</v>
      </c>
      <c r="H517" s="92" t="s">
        <v>672</v>
      </c>
      <c r="I517" s="53" t="str">
        <f t="shared" si="132"/>
        <v>MM11_4_4</v>
      </c>
    </row>
    <row r="518" spans="1:9" s="3" customFormat="1" ht="25.5" x14ac:dyDescent="0.25">
      <c r="A518" s="53" t="s">
        <v>676</v>
      </c>
      <c r="B518" s="90" t="str">
        <f>A518&amp;".How do you usually access this mobile money service..."&amp;'brand name'!$C$5&amp;"? "&amp;Other!P6</f>
        <v>MM11.4.5.How do you usually access this mobile money service...MoCash? My own account</v>
      </c>
      <c r="C518" s="57" t="s">
        <v>142</v>
      </c>
      <c r="D518" s="53" t="s">
        <v>38</v>
      </c>
      <c r="E518" s="53">
        <v>1</v>
      </c>
      <c r="F518" s="53">
        <f t="shared" si="135"/>
        <v>856</v>
      </c>
      <c r="G518" s="53">
        <f t="shared" si="134"/>
        <v>856</v>
      </c>
      <c r="H518" s="92" t="s">
        <v>672</v>
      </c>
      <c r="I518" s="53" t="str">
        <f t="shared" si="132"/>
        <v>MM11_4_5</v>
      </c>
    </row>
    <row r="519" spans="1:9" s="3" customFormat="1" ht="25.5" x14ac:dyDescent="0.25">
      <c r="A519" s="53" t="s">
        <v>677</v>
      </c>
      <c r="B519" s="90" t="str">
        <f>A519&amp;".How do you usually access this mobile money service..."&amp;'brand name'!$C$5&amp;"? "&amp;Other!P7</f>
        <v>MM11.4.6.How do you usually access this mobile money service...MoCash? ATM</v>
      </c>
      <c r="C519" s="57" t="s">
        <v>142</v>
      </c>
      <c r="D519" s="53" t="s">
        <v>38</v>
      </c>
      <c r="E519" s="53">
        <v>1</v>
      </c>
      <c r="F519" s="53">
        <f t="shared" si="135"/>
        <v>857</v>
      </c>
      <c r="G519" s="53">
        <f t="shared" si="134"/>
        <v>857</v>
      </c>
      <c r="H519" s="92" t="s">
        <v>672</v>
      </c>
      <c r="I519" s="53" t="str">
        <f t="shared" si="132"/>
        <v>MM11_4_6</v>
      </c>
    </row>
    <row r="520" spans="1:9" s="3" customFormat="1" ht="25.5" x14ac:dyDescent="0.25">
      <c r="A520" s="53" t="s">
        <v>678</v>
      </c>
      <c r="B520" s="90" t="str">
        <f>A520&amp;".How do you usually access this mobile money service..."&amp;'brand name'!$C$5&amp;"? "&amp;Other!P8</f>
        <v>MM11.4.96.How do you usually access this mobile money service...MoCash? Other (Specify)</v>
      </c>
      <c r="C520" s="57" t="s">
        <v>142</v>
      </c>
      <c r="D520" s="53" t="s">
        <v>38</v>
      </c>
      <c r="E520" s="53">
        <v>1</v>
      </c>
      <c r="F520" s="53">
        <f t="shared" si="135"/>
        <v>858</v>
      </c>
      <c r="G520" s="53">
        <f t="shared" si="134"/>
        <v>858</v>
      </c>
      <c r="H520" s="92" t="s">
        <v>672</v>
      </c>
      <c r="I520" s="53" t="str">
        <f t="shared" si="132"/>
        <v>MM11_4_96</v>
      </c>
    </row>
    <row r="521" spans="1:9" s="3" customFormat="1" ht="25.5" x14ac:dyDescent="0.25">
      <c r="A521" s="53" t="s">
        <v>679</v>
      </c>
      <c r="B521" s="90" t="str">
        <f>A521&amp;".How do you usually access this mobile money service..."&amp;'brand name'!$C$6&amp;"? "&amp;Other!P2</f>
        <v>MM11.5.1.How do you usually access this mobile money service...Rekening Ponsel? Over the counter or by using an agent’s account</v>
      </c>
      <c r="C521" s="57" t="s">
        <v>142</v>
      </c>
      <c r="D521" s="53" t="s">
        <v>38</v>
      </c>
      <c r="E521" s="53">
        <v>1</v>
      </c>
      <c r="F521" s="53">
        <f t="shared" si="135"/>
        <v>859</v>
      </c>
      <c r="G521" s="53">
        <f t="shared" si="134"/>
        <v>859</v>
      </c>
      <c r="H521" s="92" t="s">
        <v>680</v>
      </c>
      <c r="I521" s="53" t="str">
        <f t="shared" si="132"/>
        <v>MM11_5_1</v>
      </c>
    </row>
    <row r="522" spans="1:9" s="3" customFormat="1" ht="25.5" x14ac:dyDescent="0.25">
      <c r="A522" s="53" t="s">
        <v>681</v>
      </c>
      <c r="B522" s="90" t="str">
        <f>A522&amp;".How do you usually access this mobile money service..."&amp;'brand name'!$C$6&amp;"? "&amp;Other!P3</f>
        <v>MM11.5.2.How do you usually access this mobile money service...Rekening Ponsel? Account of a family member in this household</v>
      </c>
      <c r="C522" s="57" t="s">
        <v>142</v>
      </c>
      <c r="D522" s="53" t="s">
        <v>38</v>
      </c>
      <c r="E522" s="53">
        <v>1</v>
      </c>
      <c r="F522" s="53">
        <f t="shared" si="135"/>
        <v>860</v>
      </c>
      <c r="G522" s="53">
        <f t="shared" si="134"/>
        <v>860</v>
      </c>
      <c r="H522" s="92" t="s">
        <v>680</v>
      </c>
      <c r="I522" s="53" t="str">
        <f t="shared" si="132"/>
        <v>MM11_5_2</v>
      </c>
    </row>
    <row r="523" spans="1:9" s="3" customFormat="1" ht="38.25" x14ac:dyDescent="0.25">
      <c r="A523" s="53" t="s">
        <v>682</v>
      </c>
      <c r="B523" s="90" t="str">
        <f>A523&amp;".How do you usually access this mobile money service..."&amp;'brand name'!$C$6&amp;"? "&amp;Other!P4</f>
        <v>MM11.5.3.How do you usually access this mobile money service...Rekening Ponsel? Account of a family member in another household, other relative, friend or a neighbor</v>
      </c>
      <c r="C523" s="57" t="s">
        <v>142</v>
      </c>
      <c r="D523" s="53" t="s">
        <v>38</v>
      </c>
      <c r="E523" s="53">
        <v>1</v>
      </c>
      <c r="F523" s="53">
        <f t="shared" si="135"/>
        <v>861</v>
      </c>
      <c r="G523" s="53">
        <f t="shared" si="134"/>
        <v>861</v>
      </c>
      <c r="H523" s="92" t="s">
        <v>680</v>
      </c>
      <c r="I523" s="53" t="str">
        <f t="shared" si="132"/>
        <v>MM11_5_3</v>
      </c>
    </row>
    <row r="524" spans="1:9" s="3" customFormat="1" ht="25.5" x14ac:dyDescent="0.25">
      <c r="A524" s="53" t="s">
        <v>683</v>
      </c>
      <c r="B524" s="90" t="str">
        <f>A524&amp;".How do you usually access this mobile money service..."&amp;'brand name'!$C$6&amp;"? "&amp;Other!P5</f>
        <v>MM11.5.4.How do you usually access this mobile money service...Rekening Ponsel? Account of a workmate or a business partner</v>
      </c>
      <c r="C524" s="57" t="s">
        <v>142</v>
      </c>
      <c r="D524" s="53" t="s">
        <v>38</v>
      </c>
      <c r="E524" s="53">
        <v>1</v>
      </c>
      <c r="F524" s="53">
        <f t="shared" si="135"/>
        <v>862</v>
      </c>
      <c r="G524" s="53">
        <f t="shared" si="134"/>
        <v>862</v>
      </c>
      <c r="H524" s="92" t="s">
        <v>680</v>
      </c>
      <c r="I524" s="53" t="str">
        <f t="shared" si="132"/>
        <v>MM11_5_4</v>
      </c>
    </row>
    <row r="525" spans="1:9" s="3" customFormat="1" ht="25.5" x14ac:dyDescent="0.25">
      <c r="A525" s="53" t="s">
        <v>684</v>
      </c>
      <c r="B525" s="90" t="str">
        <f>A525&amp;".How do you usually access this mobile money service..."&amp;'brand name'!$C$6&amp;"? "&amp;Other!P6</f>
        <v>MM11.5.5.How do you usually access this mobile money service...Rekening Ponsel? My own account</v>
      </c>
      <c r="C525" s="57" t="s">
        <v>142</v>
      </c>
      <c r="D525" s="53" t="s">
        <v>38</v>
      </c>
      <c r="E525" s="53">
        <v>1</v>
      </c>
      <c r="F525" s="53">
        <f t="shared" si="135"/>
        <v>863</v>
      </c>
      <c r="G525" s="53">
        <f t="shared" si="134"/>
        <v>863</v>
      </c>
      <c r="H525" s="92" t="s">
        <v>680</v>
      </c>
      <c r="I525" s="53" t="str">
        <f t="shared" si="132"/>
        <v>MM11_5_5</v>
      </c>
    </row>
    <row r="526" spans="1:9" s="3" customFormat="1" ht="25.5" x14ac:dyDescent="0.25">
      <c r="A526" s="53" t="s">
        <v>685</v>
      </c>
      <c r="B526" s="90" t="str">
        <f>A526&amp;".How do you usually access this mobile money service..."&amp;'brand name'!$C$6&amp;"? "&amp;Other!P7</f>
        <v>MM11.5.6.How do you usually access this mobile money service...Rekening Ponsel? ATM</v>
      </c>
      <c r="C526" s="57" t="s">
        <v>142</v>
      </c>
      <c r="D526" s="53" t="s">
        <v>38</v>
      </c>
      <c r="E526" s="53">
        <v>1</v>
      </c>
      <c r="F526" s="53">
        <f t="shared" si="135"/>
        <v>864</v>
      </c>
      <c r="G526" s="53">
        <f t="shared" si="134"/>
        <v>864</v>
      </c>
      <c r="H526" s="92" t="s">
        <v>680</v>
      </c>
      <c r="I526" s="53" t="str">
        <f t="shared" si="132"/>
        <v>MM11_5_6</v>
      </c>
    </row>
    <row r="527" spans="1:9" s="3" customFormat="1" ht="25.5" x14ac:dyDescent="0.25">
      <c r="A527" s="53" t="s">
        <v>686</v>
      </c>
      <c r="B527" s="90" t="str">
        <f>A527&amp;".How do you usually access this mobile money service..."&amp;'brand name'!$C$6&amp;"? "&amp;Other!P8</f>
        <v>MM11.5.96.How do you usually access this mobile money service...Rekening Ponsel? Other (Specify)</v>
      </c>
      <c r="C527" s="57" t="s">
        <v>142</v>
      </c>
      <c r="D527" s="53" t="s">
        <v>38</v>
      </c>
      <c r="E527" s="53">
        <v>1</v>
      </c>
      <c r="F527" s="53">
        <f t="shared" si="135"/>
        <v>865</v>
      </c>
      <c r="G527" s="53">
        <f t="shared" si="134"/>
        <v>865</v>
      </c>
      <c r="H527" s="92" t="s">
        <v>680</v>
      </c>
      <c r="I527" s="53" t="str">
        <f t="shared" si="132"/>
        <v>MM11_5_96</v>
      </c>
    </row>
    <row r="528" spans="1:9" s="3" customFormat="1" ht="25.5" x14ac:dyDescent="0.25">
      <c r="A528" s="53" t="s">
        <v>687</v>
      </c>
      <c r="B528" s="90" t="str">
        <f>A528&amp;".How do you usually access this mobile money service..."&amp;'brand name'!$C$7&amp;"? "&amp;Other!P2</f>
        <v>MM11.6.1.How do you usually access this mobile money service...Skye? Over the counter or by using an agent’s account</v>
      </c>
      <c r="C528" s="57" t="s">
        <v>142</v>
      </c>
      <c r="D528" s="53" t="s">
        <v>38</v>
      </c>
      <c r="E528" s="53">
        <v>1</v>
      </c>
      <c r="F528" s="53">
        <f t="shared" si="135"/>
        <v>866</v>
      </c>
      <c r="G528" s="53">
        <f t="shared" si="134"/>
        <v>866</v>
      </c>
      <c r="H528" s="92" t="s">
        <v>688</v>
      </c>
      <c r="I528" s="53" t="str">
        <f t="shared" si="132"/>
        <v>MM11_6_1</v>
      </c>
    </row>
    <row r="529" spans="1:9" s="3" customFormat="1" ht="25.5" x14ac:dyDescent="0.25">
      <c r="A529" s="53" t="s">
        <v>689</v>
      </c>
      <c r="B529" s="90" t="str">
        <f>A529&amp;".How do you usually access this mobile money service..."&amp;'brand name'!$C$7&amp;"? "&amp;Other!P3</f>
        <v>MM11.6.2.How do you usually access this mobile money service...Skye? Account of a family member in this household</v>
      </c>
      <c r="C529" s="57" t="s">
        <v>142</v>
      </c>
      <c r="D529" s="53" t="s">
        <v>38</v>
      </c>
      <c r="E529" s="53">
        <v>1</v>
      </c>
      <c r="F529" s="53">
        <f t="shared" si="135"/>
        <v>867</v>
      </c>
      <c r="G529" s="53">
        <f t="shared" si="134"/>
        <v>867</v>
      </c>
      <c r="H529" s="92" t="s">
        <v>688</v>
      </c>
      <c r="I529" s="53" t="str">
        <f t="shared" si="132"/>
        <v>MM11_6_2</v>
      </c>
    </row>
    <row r="530" spans="1:9" s="3" customFormat="1" ht="25.5" x14ac:dyDescent="0.25">
      <c r="A530" s="53" t="s">
        <v>690</v>
      </c>
      <c r="B530" s="90" t="str">
        <f>A530&amp;".How do you usually access this mobile money service..."&amp;'brand name'!$C$7&amp;"? "&amp;Other!P4</f>
        <v>MM11.6.3.How do you usually access this mobile money service...Skye? Account of a family member in another household, other relative, friend or a neighbor</v>
      </c>
      <c r="C530" s="57" t="s">
        <v>142</v>
      </c>
      <c r="D530" s="53" t="s">
        <v>38</v>
      </c>
      <c r="E530" s="53">
        <v>1</v>
      </c>
      <c r="F530" s="53">
        <f t="shared" si="135"/>
        <v>868</v>
      </c>
      <c r="G530" s="53">
        <f t="shared" si="134"/>
        <v>868</v>
      </c>
      <c r="H530" s="92" t="s">
        <v>688</v>
      </c>
      <c r="I530" s="53" t="str">
        <f t="shared" si="132"/>
        <v>MM11_6_3</v>
      </c>
    </row>
    <row r="531" spans="1:9" s="3" customFormat="1" ht="25.5" x14ac:dyDescent="0.25">
      <c r="A531" s="53" t="s">
        <v>691</v>
      </c>
      <c r="B531" s="90" t="str">
        <f>A531&amp;".How do you usually access this mobile money service..."&amp;'brand name'!$C$7&amp;"? "&amp;Other!P5</f>
        <v>MM11.6.4.How do you usually access this mobile money service...Skye? Account of a workmate or a business partner</v>
      </c>
      <c r="C531" s="57" t="s">
        <v>142</v>
      </c>
      <c r="D531" s="53" t="s">
        <v>38</v>
      </c>
      <c r="E531" s="53">
        <v>1</v>
      </c>
      <c r="F531" s="53">
        <f t="shared" si="135"/>
        <v>869</v>
      </c>
      <c r="G531" s="53">
        <f t="shared" si="134"/>
        <v>869</v>
      </c>
      <c r="H531" s="92" t="s">
        <v>688</v>
      </c>
      <c r="I531" s="53" t="str">
        <f t="shared" si="132"/>
        <v>MM11_6_4</v>
      </c>
    </row>
    <row r="532" spans="1:9" s="3" customFormat="1" ht="25.5" x14ac:dyDescent="0.25">
      <c r="A532" s="53" t="s">
        <v>692</v>
      </c>
      <c r="B532" s="90" t="str">
        <f>A532&amp;".How do you usually access this mobile money service..."&amp;'brand name'!$C$7&amp;"? "&amp;Other!P6</f>
        <v>MM11.6.5.How do you usually access this mobile money service...Skye? My own account</v>
      </c>
      <c r="C532" s="57" t="s">
        <v>142</v>
      </c>
      <c r="D532" s="53" t="s">
        <v>38</v>
      </c>
      <c r="E532" s="53">
        <v>1</v>
      </c>
      <c r="F532" s="53">
        <f t="shared" si="135"/>
        <v>870</v>
      </c>
      <c r="G532" s="53">
        <f t="shared" si="134"/>
        <v>870</v>
      </c>
      <c r="H532" s="92" t="s">
        <v>688</v>
      </c>
      <c r="I532" s="53" t="str">
        <f t="shared" si="132"/>
        <v>MM11_6_5</v>
      </c>
    </row>
    <row r="533" spans="1:9" s="3" customFormat="1" ht="25.5" x14ac:dyDescent="0.25">
      <c r="A533" s="53" t="s">
        <v>693</v>
      </c>
      <c r="B533" s="90" t="str">
        <f>A533&amp;".How do you usually access this mobile money service..."&amp;'brand name'!$C$7&amp;"? "&amp;Other!P7</f>
        <v>MM11.6.6.How do you usually access this mobile money service...Skye? ATM</v>
      </c>
      <c r="C533" s="57" t="s">
        <v>142</v>
      </c>
      <c r="D533" s="53" t="s">
        <v>38</v>
      </c>
      <c r="E533" s="53">
        <v>1</v>
      </c>
      <c r="F533" s="53">
        <f t="shared" si="135"/>
        <v>871</v>
      </c>
      <c r="G533" s="53">
        <f t="shared" si="134"/>
        <v>871</v>
      </c>
      <c r="H533" s="92" t="s">
        <v>688</v>
      </c>
      <c r="I533" s="53" t="str">
        <f t="shared" si="132"/>
        <v>MM11_6_6</v>
      </c>
    </row>
    <row r="534" spans="1:9" s="3" customFormat="1" ht="25.5" x14ac:dyDescent="0.25">
      <c r="A534" s="53" t="s">
        <v>694</v>
      </c>
      <c r="B534" s="90" t="str">
        <f>A534&amp;".How do you usually access this mobile money service..."&amp;'brand name'!$C$7&amp;"? "&amp;Other!P8</f>
        <v>MM11.6.96.How do you usually access this mobile money service...Skye? Other (Specify)</v>
      </c>
      <c r="C534" s="57" t="s">
        <v>142</v>
      </c>
      <c r="D534" s="53" t="s">
        <v>38</v>
      </c>
      <c r="E534" s="53">
        <v>1</v>
      </c>
      <c r="F534" s="53">
        <f t="shared" si="135"/>
        <v>872</v>
      </c>
      <c r="G534" s="53">
        <f t="shared" si="134"/>
        <v>872</v>
      </c>
      <c r="H534" s="92" t="s">
        <v>688</v>
      </c>
      <c r="I534" s="53" t="str">
        <f t="shared" si="132"/>
        <v>MM11_6_96</v>
      </c>
    </row>
    <row r="535" spans="1:9" s="3" customFormat="1" ht="25.5" x14ac:dyDescent="0.25">
      <c r="A535" s="53" t="s">
        <v>695</v>
      </c>
      <c r="B535" s="90" t="str">
        <f>A535&amp;".How do you usually access this mobile money service..."&amp;'brand name'!$C$8&amp;"? "&amp;Other!P2</f>
        <v>MM11.7.1.How do you usually access this mobile money service...T-Cash? Over the counter or by using an agent’s account</v>
      </c>
      <c r="C535" s="57" t="s">
        <v>142</v>
      </c>
      <c r="D535" s="53" t="s">
        <v>38</v>
      </c>
      <c r="E535" s="53">
        <v>1</v>
      </c>
      <c r="F535" s="53">
        <f t="shared" ref="F535:F540" si="136">G534+1</f>
        <v>873</v>
      </c>
      <c r="G535" s="53">
        <f t="shared" ref="G535:G540" si="137">G534+E535</f>
        <v>873</v>
      </c>
      <c r="H535" s="92" t="s">
        <v>696</v>
      </c>
      <c r="I535" s="53" t="str">
        <f t="shared" si="132"/>
        <v>MM11_7_1</v>
      </c>
    </row>
    <row r="536" spans="1:9" s="3" customFormat="1" ht="25.5" x14ac:dyDescent="0.25">
      <c r="A536" s="53" t="s">
        <v>697</v>
      </c>
      <c r="B536" s="90" t="str">
        <f>A536&amp;".How do you usually access this mobile money service..."&amp;'brand name'!$C$8&amp;"? "&amp;Other!P3</f>
        <v>MM11.7.2.How do you usually access this mobile money service...T-Cash? Account of a family member in this household</v>
      </c>
      <c r="C536" s="57" t="s">
        <v>142</v>
      </c>
      <c r="D536" s="53" t="s">
        <v>38</v>
      </c>
      <c r="E536" s="53">
        <v>1</v>
      </c>
      <c r="F536" s="53">
        <f t="shared" si="136"/>
        <v>874</v>
      </c>
      <c r="G536" s="53">
        <f t="shared" si="137"/>
        <v>874</v>
      </c>
      <c r="H536" s="92" t="s">
        <v>696</v>
      </c>
      <c r="I536" s="53" t="str">
        <f t="shared" si="132"/>
        <v>MM11_7_2</v>
      </c>
    </row>
    <row r="537" spans="1:9" s="3" customFormat="1" ht="38.25" x14ac:dyDescent="0.25">
      <c r="A537" s="53" t="s">
        <v>698</v>
      </c>
      <c r="B537" s="90" t="str">
        <f>A537&amp;".How do you usually access this mobile money service..."&amp;'brand name'!$C$8&amp;"? "&amp;Other!P4</f>
        <v>MM11.7.3.How do you usually access this mobile money service...T-Cash? Account of a family member in another household, other relative, friend or a neighbor</v>
      </c>
      <c r="C537" s="57" t="s">
        <v>142</v>
      </c>
      <c r="D537" s="53" t="s">
        <v>38</v>
      </c>
      <c r="E537" s="53">
        <v>1</v>
      </c>
      <c r="F537" s="53">
        <f t="shared" si="136"/>
        <v>875</v>
      </c>
      <c r="G537" s="53">
        <f t="shared" si="137"/>
        <v>875</v>
      </c>
      <c r="H537" s="92" t="s">
        <v>696</v>
      </c>
      <c r="I537" s="53" t="str">
        <f t="shared" si="132"/>
        <v>MM11_7_3</v>
      </c>
    </row>
    <row r="538" spans="1:9" s="3" customFormat="1" ht="25.5" x14ac:dyDescent="0.25">
      <c r="A538" s="53" t="s">
        <v>699</v>
      </c>
      <c r="B538" s="90" t="str">
        <f>A538&amp;".How do you usually access this mobile money service..."&amp;'brand name'!$C$8&amp;"? "&amp;Other!P5</f>
        <v>MM11.7.4.How do you usually access this mobile money service...T-Cash? Account of a workmate or a business partner</v>
      </c>
      <c r="C538" s="57" t="s">
        <v>142</v>
      </c>
      <c r="D538" s="53" t="s">
        <v>38</v>
      </c>
      <c r="E538" s="53">
        <v>1</v>
      </c>
      <c r="F538" s="53">
        <f t="shared" si="136"/>
        <v>876</v>
      </c>
      <c r="G538" s="53">
        <f t="shared" si="137"/>
        <v>876</v>
      </c>
      <c r="H538" s="92" t="s">
        <v>696</v>
      </c>
      <c r="I538" s="53" t="str">
        <f t="shared" si="132"/>
        <v>MM11_7_4</v>
      </c>
    </row>
    <row r="539" spans="1:9" s="3" customFormat="1" ht="25.5" x14ac:dyDescent="0.25">
      <c r="A539" s="53" t="s">
        <v>700</v>
      </c>
      <c r="B539" s="90" t="str">
        <f>A539&amp;".How do you usually access this mobile money service..."&amp;'brand name'!$C$8&amp;"? "&amp;Other!P6</f>
        <v>MM11.7.5.How do you usually access this mobile money service...T-Cash? My own account</v>
      </c>
      <c r="C539" s="57" t="s">
        <v>142</v>
      </c>
      <c r="D539" s="53" t="s">
        <v>38</v>
      </c>
      <c r="E539" s="53">
        <v>1</v>
      </c>
      <c r="F539" s="53">
        <f t="shared" si="136"/>
        <v>877</v>
      </c>
      <c r="G539" s="53">
        <f t="shared" si="137"/>
        <v>877</v>
      </c>
      <c r="H539" s="92" t="s">
        <v>696</v>
      </c>
      <c r="I539" s="53" t="str">
        <f t="shared" si="132"/>
        <v>MM11_7_5</v>
      </c>
    </row>
    <row r="540" spans="1:9" s="3" customFormat="1" ht="25.5" x14ac:dyDescent="0.25">
      <c r="A540" s="53" t="s">
        <v>701</v>
      </c>
      <c r="B540" s="90" t="str">
        <f>A540&amp;".How do you usually access this mobile money service..."&amp;'brand name'!$C$8&amp;"? "&amp;Other!P7</f>
        <v>MM11.7.6.How do you usually access this mobile money service...T-Cash? ATM</v>
      </c>
      <c r="C540" s="57" t="s">
        <v>142</v>
      </c>
      <c r="D540" s="53" t="s">
        <v>38</v>
      </c>
      <c r="E540" s="53">
        <v>1</v>
      </c>
      <c r="F540" s="53">
        <f t="shared" si="136"/>
        <v>878</v>
      </c>
      <c r="G540" s="53">
        <f t="shared" si="137"/>
        <v>878</v>
      </c>
      <c r="H540" s="92" t="s">
        <v>696</v>
      </c>
      <c r="I540" s="53" t="str">
        <f t="shared" si="132"/>
        <v>MM11_7_6</v>
      </c>
    </row>
    <row r="541" spans="1:9" s="3" customFormat="1" ht="25.5" x14ac:dyDescent="0.25">
      <c r="A541" s="53" t="s">
        <v>702</v>
      </c>
      <c r="B541" s="90" t="str">
        <f>A541&amp;".How do you usually access this mobile money service..."&amp;'brand name'!$C$8&amp;"? "&amp;Other!P8</f>
        <v>MM11.7.96.How do you usually access this mobile money service...T-Cash? Other (Specify)</v>
      </c>
      <c r="C541" s="57" t="s">
        <v>142</v>
      </c>
      <c r="D541" s="53" t="s">
        <v>38</v>
      </c>
      <c r="E541" s="53">
        <v>1</v>
      </c>
      <c r="F541" s="53">
        <f t="shared" ref="F541:F547" si="138">G540+1</f>
        <v>879</v>
      </c>
      <c r="G541" s="53">
        <f t="shared" ref="G541:G547" si="139">G540+E541</f>
        <v>879</v>
      </c>
      <c r="H541" s="92" t="s">
        <v>696</v>
      </c>
      <c r="I541" s="53" t="str">
        <f t="shared" si="132"/>
        <v>MM11_7_96</v>
      </c>
    </row>
    <row r="542" spans="1:9" s="3" customFormat="1" ht="25.5" x14ac:dyDescent="0.25">
      <c r="A542" s="53" t="s">
        <v>703</v>
      </c>
      <c r="B542" s="90" t="str">
        <f>A542&amp;".How do you usually access this mobile money service..."&amp;'brand name'!$C$9&amp;"? "&amp;Other!P2</f>
        <v>MM11.8.1.How do you usually access this mobile money service...XL Tunai? Over the counter or by using an agent’s account</v>
      </c>
      <c r="C542" s="57" t="s">
        <v>142</v>
      </c>
      <c r="D542" s="53" t="s">
        <v>38</v>
      </c>
      <c r="E542" s="53">
        <v>1</v>
      </c>
      <c r="F542" s="53">
        <f t="shared" si="138"/>
        <v>880</v>
      </c>
      <c r="G542" s="53">
        <f t="shared" si="139"/>
        <v>880</v>
      </c>
      <c r="H542" s="92" t="s">
        <v>704</v>
      </c>
      <c r="I542" s="53" t="str">
        <f t="shared" ref="I542:I548" si="140">SUBSTITUTE(A542, ".", "_")</f>
        <v>MM11_8_1</v>
      </c>
    </row>
    <row r="543" spans="1:9" s="3" customFormat="1" ht="25.5" x14ac:dyDescent="0.25">
      <c r="A543" s="53" t="s">
        <v>705</v>
      </c>
      <c r="B543" s="90" t="str">
        <f>A543&amp;".How do you usually access this mobile money service..."&amp;'brand name'!$C$9&amp;"? "&amp;Other!P3</f>
        <v>MM11.8.2.How do you usually access this mobile money service...XL Tunai? Account of a family member in this household</v>
      </c>
      <c r="C543" s="57" t="s">
        <v>142</v>
      </c>
      <c r="D543" s="53" t="s">
        <v>38</v>
      </c>
      <c r="E543" s="53">
        <v>1</v>
      </c>
      <c r="F543" s="53">
        <f t="shared" si="138"/>
        <v>881</v>
      </c>
      <c r="G543" s="53">
        <f t="shared" si="139"/>
        <v>881</v>
      </c>
      <c r="H543" s="92" t="s">
        <v>704</v>
      </c>
      <c r="I543" s="53" t="str">
        <f t="shared" si="140"/>
        <v>MM11_8_2</v>
      </c>
    </row>
    <row r="544" spans="1:9" s="3" customFormat="1" ht="38.25" x14ac:dyDescent="0.25">
      <c r="A544" s="53" t="s">
        <v>706</v>
      </c>
      <c r="B544" s="90" t="str">
        <f>A544&amp;".How do you usually access this mobile money service..."&amp;'brand name'!$C$9&amp;"? "&amp;Other!P4</f>
        <v>MM11.8.3.How do you usually access this mobile money service...XL Tunai? Account of a family member in another household, other relative, friend or a neighbor</v>
      </c>
      <c r="C544" s="57" t="s">
        <v>142</v>
      </c>
      <c r="D544" s="53" t="s">
        <v>38</v>
      </c>
      <c r="E544" s="53">
        <v>1</v>
      </c>
      <c r="F544" s="53">
        <f t="shared" si="138"/>
        <v>882</v>
      </c>
      <c r="G544" s="53">
        <f t="shared" si="139"/>
        <v>882</v>
      </c>
      <c r="H544" s="92" t="s">
        <v>704</v>
      </c>
      <c r="I544" s="53" t="str">
        <f t="shared" si="140"/>
        <v>MM11_8_3</v>
      </c>
    </row>
    <row r="545" spans="1:9" s="3" customFormat="1" ht="25.5" x14ac:dyDescent="0.25">
      <c r="A545" s="53" t="s">
        <v>707</v>
      </c>
      <c r="B545" s="90" t="str">
        <f>A545&amp;".How do you usually access this mobile money service..."&amp;'brand name'!$C$9&amp;"? "&amp;Other!P5</f>
        <v>MM11.8.4.How do you usually access this mobile money service...XL Tunai? Account of a workmate or a business partner</v>
      </c>
      <c r="C545" s="57" t="s">
        <v>142</v>
      </c>
      <c r="D545" s="53" t="s">
        <v>38</v>
      </c>
      <c r="E545" s="53">
        <v>1</v>
      </c>
      <c r="F545" s="53">
        <f t="shared" si="138"/>
        <v>883</v>
      </c>
      <c r="G545" s="53">
        <f t="shared" si="139"/>
        <v>883</v>
      </c>
      <c r="H545" s="92" t="s">
        <v>704</v>
      </c>
      <c r="I545" s="53" t="str">
        <f t="shared" si="140"/>
        <v>MM11_8_4</v>
      </c>
    </row>
    <row r="546" spans="1:9" s="3" customFormat="1" ht="25.5" x14ac:dyDescent="0.25">
      <c r="A546" s="53" t="s">
        <v>708</v>
      </c>
      <c r="B546" s="90" t="str">
        <f>A546&amp;".How do you usually access this mobile money service..."&amp;'brand name'!$C$9&amp;"? "&amp;Other!P6</f>
        <v>MM11.8.5.How do you usually access this mobile money service...XL Tunai? My own account</v>
      </c>
      <c r="C546" s="57" t="s">
        <v>142</v>
      </c>
      <c r="D546" s="53" t="s">
        <v>38</v>
      </c>
      <c r="E546" s="53">
        <v>1</v>
      </c>
      <c r="F546" s="53">
        <f t="shared" si="138"/>
        <v>884</v>
      </c>
      <c r="G546" s="53">
        <f t="shared" si="139"/>
        <v>884</v>
      </c>
      <c r="H546" s="92" t="s">
        <v>704</v>
      </c>
      <c r="I546" s="53" t="str">
        <f t="shared" si="140"/>
        <v>MM11_8_5</v>
      </c>
    </row>
    <row r="547" spans="1:9" s="3" customFormat="1" ht="25.5" x14ac:dyDescent="0.25">
      <c r="A547" s="53" t="s">
        <v>709</v>
      </c>
      <c r="B547" s="90" t="str">
        <f>A547&amp;".How do you usually access this mobile money service..."&amp;'brand name'!$C$9&amp;"? "&amp;Other!P7</f>
        <v>MM11.8.6.How do you usually access this mobile money service...XL Tunai? ATM</v>
      </c>
      <c r="C547" s="57" t="s">
        <v>142</v>
      </c>
      <c r="D547" s="53" t="s">
        <v>38</v>
      </c>
      <c r="E547" s="53">
        <v>1</v>
      </c>
      <c r="F547" s="53">
        <f t="shared" si="138"/>
        <v>885</v>
      </c>
      <c r="G547" s="53">
        <f t="shared" si="139"/>
        <v>885</v>
      </c>
      <c r="H547" s="92" t="s">
        <v>704</v>
      </c>
      <c r="I547" s="53" t="str">
        <f t="shared" si="140"/>
        <v>MM11_8_6</v>
      </c>
    </row>
    <row r="548" spans="1:9" s="3" customFormat="1" ht="25.5" x14ac:dyDescent="0.25">
      <c r="A548" s="53" t="s">
        <v>710</v>
      </c>
      <c r="B548" s="90" t="str">
        <f>A548&amp;".How do you usually access this mobile money service..."&amp;'brand name'!$C$9&amp;"? "&amp;Other!P8</f>
        <v>MM11.8.96.How do you usually access this mobile money service...XL Tunai? Other (Specify)</v>
      </c>
      <c r="C548" s="57" t="s">
        <v>142</v>
      </c>
      <c r="D548" s="53" t="s">
        <v>38</v>
      </c>
      <c r="E548" s="53">
        <v>1</v>
      </c>
      <c r="F548" s="53">
        <f t="shared" ref="F548:F554" si="141">G547+1</f>
        <v>886</v>
      </c>
      <c r="G548" s="53">
        <f t="shared" ref="G548:G554" si="142">G547+E548</f>
        <v>886</v>
      </c>
      <c r="H548" s="92" t="s">
        <v>704</v>
      </c>
      <c r="I548" s="53" t="str">
        <f t="shared" si="140"/>
        <v>MM11_8_96</v>
      </c>
    </row>
    <row r="549" spans="1:9" s="3" customFormat="1" ht="25.5" x14ac:dyDescent="0.25">
      <c r="A549" s="53" t="s">
        <v>711</v>
      </c>
      <c r="B549" s="90" t="str">
        <f>A549&amp;".How do you usually access this mobile money service..."&amp;'brand name'!$C$10&amp;"? "&amp;Other!P2</f>
        <v>MM11.9.1.How do you usually access this mobile money service...Sakuku? Over the counter or by using an agent’s account</v>
      </c>
      <c r="C549" s="57" t="s">
        <v>142</v>
      </c>
      <c r="D549" s="53" t="s">
        <v>38</v>
      </c>
      <c r="E549" s="53">
        <v>1</v>
      </c>
      <c r="F549" s="53">
        <f t="shared" si="141"/>
        <v>887</v>
      </c>
      <c r="G549" s="53">
        <f t="shared" si="142"/>
        <v>887</v>
      </c>
      <c r="H549" s="92" t="s">
        <v>712</v>
      </c>
      <c r="I549" s="53" t="str">
        <f t="shared" ref="I549:I555" si="143">SUBSTITUTE(A549, ".", "_")</f>
        <v>MM11_9_1</v>
      </c>
    </row>
    <row r="550" spans="1:9" s="3" customFormat="1" ht="25.5" x14ac:dyDescent="0.25">
      <c r="A550" s="53" t="s">
        <v>713</v>
      </c>
      <c r="B550" s="90" t="str">
        <f>A550&amp;".How do you usually access this mobile money service..."&amp;'brand name'!$C$10&amp;"? "&amp;Other!P3</f>
        <v>MM11.9.2.How do you usually access this mobile money service...Sakuku? Account of a family member in this household</v>
      </c>
      <c r="C550" s="57" t="s">
        <v>142</v>
      </c>
      <c r="D550" s="53" t="s">
        <v>38</v>
      </c>
      <c r="E550" s="53">
        <v>1</v>
      </c>
      <c r="F550" s="53">
        <f t="shared" si="141"/>
        <v>888</v>
      </c>
      <c r="G550" s="53">
        <f t="shared" si="142"/>
        <v>888</v>
      </c>
      <c r="H550" s="92" t="s">
        <v>712</v>
      </c>
      <c r="I550" s="53" t="str">
        <f t="shared" si="143"/>
        <v>MM11_9_2</v>
      </c>
    </row>
    <row r="551" spans="1:9" s="3" customFormat="1" ht="38.25" x14ac:dyDescent="0.25">
      <c r="A551" s="53" t="s">
        <v>714</v>
      </c>
      <c r="B551" s="90" t="str">
        <f>A551&amp;".How do you usually access this mobile money service..."&amp;'brand name'!$C$10&amp;"? "&amp;Other!P4</f>
        <v>MM11.9.3.How do you usually access this mobile money service...Sakuku? Account of a family member in another household, other relative, friend or a neighbor</v>
      </c>
      <c r="C551" s="57" t="s">
        <v>142</v>
      </c>
      <c r="D551" s="53" t="s">
        <v>38</v>
      </c>
      <c r="E551" s="53">
        <v>1</v>
      </c>
      <c r="F551" s="53">
        <f t="shared" si="141"/>
        <v>889</v>
      </c>
      <c r="G551" s="53">
        <f t="shared" si="142"/>
        <v>889</v>
      </c>
      <c r="H551" s="92" t="s">
        <v>712</v>
      </c>
      <c r="I551" s="53" t="str">
        <f t="shared" si="143"/>
        <v>MM11_9_3</v>
      </c>
    </row>
    <row r="552" spans="1:9" s="3" customFormat="1" ht="25.5" x14ac:dyDescent="0.25">
      <c r="A552" s="53" t="s">
        <v>715</v>
      </c>
      <c r="B552" s="90" t="str">
        <f>A552&amp;".How do you usually access this mobile money service..."&amp;'brand name'!$C$10&amp;"? "&amp;Other!P5</f>
        <v>MM11.9.4.How do you usually access this mobile money service...Sakuku? Account of a workmate or a business partner</v>
      </c>
      <c r="C552" s="57" t="s">
        <v>142</v>
      </c>
      <c r="D552" s="53" t="s">
        <v>38</v>
      </c>
      <c r="E552" s="53">
        <v>1</v>
      </c>
      <c r="F552" s="53">
        <f t="shared" si="141"/>
        <v>890</v>
      </c>
      <c r="G552" s="53">
        <f t="shared" si="142"/>
        <v>890</v>
      </c>
      <c r="H552" s="92" t="s">
        <v>712</v>
      </c>
      <c r="I552" s="53" t="str">
        <f t="shared" si="143"/>
        <v>MM11_9_4</v>
      </c>
    </row>
    <row r="553" spans="1:9" s="3" customFormat="1" ht="25.5" x14ac:dyDescent="0.25">
      <c r="A553" s="53" t="s">
        <v>716</v>
      </c>
      <c r="B553" s="90" t="str">
        <f>A553&amp;".How do you usually access this mobile money service..."&amp;'brand name'!$C$10&amp;"? "&amp;Other!P6</f>
        <v>MM11.9.5.How do you usually access this mobile money service...Sakuku? My own account</v>
      </c>
      <c r="C553" s="57" t="s">
        <v>142</v>
      </c>
      <c r="D553" s="53" t="s">
        <v>38</v>
      </c>
      <c r="E553" s="53">
        <v>1</v>
      </c>
      <c r="F553" s="53">
        <f t="shared" si="141"/>
        <v>891</v>
      </c>
      <c r="G553" s="53">
        <f t="shared" si="142"/>
        <v>891</v>
      </c>
      <c r="H553" s="92" t="s">
        <v>712</v>
      </c>
      <c r="I553" s="53" t="str">
        <f t="shared" si="143"/>
        <v>MM11_9_5</v>
      </c>
    </row>
    <row r="554" spans="1:9" s="3" customFormat="1" ht="25.5" x14ac:dyDescent="0.25">
      <c r="A554" s="53" t="s">
        <v>717</v>
      </c>
      <c r="B554" s="90" t="str">
        <f>A554&amp;".How do you usually access this mobile money service..."&amp;'brand name'!$C$10&amp;"? "&amp;Other!P7</f>
        <v>MM11.9.6.How do you usually access this mobile money service...Sakuku? ATM</v>
      </c>
      <c r="C554" s="57" t="s">
        <v>142</v>
      </c>
      <c r="D554" s="53" t="s">
        <v>38</v>
      </c>
      <c r="E554" s="53">
        <v>1</v>
      </c>
      <c r="F554" s="53">
        <f t="shared" si="141"/>
        <v>892</v>
      </c>
      <c r="G554" s="53">
        <f t="shared" si="142"/>
        <v>892</v>
      </c>
      <c r="H554" s="92" t="s">
        <v>712</v>
      </c>
      <c r="I554" s="53" t="str">
        <f t="shared" si="143"/>
        <v>MM11_9_6</v>
      </c>
    </row>
    <row r="555" spans="1:9" s="3" customFormat="1" ht="25.5" x14ac:dyDescent="0.25">
      <c r="A555" s="53" t="s">
        <v>718</v>
      </c>
      <c r="B555" s="90" t="str">
        <f>A555&amp;".How do you usually access this mobile money service..."&amp;'brand name'!$C$10&amp;"? "&amp;Other!P8</f>
        <v>MM11.9.96.How do you usually access this mobile money service...Sakuku? Other (Specify)</v>
      </c>
      <c r="C555" s="57" t="s">
        <v>142</v>
      </c>
      <c r="D555" s="53" t="s">
        <v>38</v>
      </c>
      <c r="E555" s="53">
        <v>1</v>
      </c>
      <c r="F555" s="53">
        <f t="shared" ref="F555:F561" si="144">G554+1</f>
        <v>893</v>
      </c>
      <c r="G555" s="53">
        <f t="shared" ref="G555:G561" si="145">G554+E555</f>
        <v>893</v>
      </c>
      <c r="H555" s="92" t="s">
        <v>712</v>
      </c>
      <c r="I555" s="53" t="str">
        <f t="shared" si="143"/>
        <v>MM11_9_96</v>
      </c>
    </row>
    <row r="556" spans="1:9" s="3" customFormat="1" ht="25.5" x14ac:dyDescent="0.25">
      <c r="A556" s="53" t="s">
        <v>719</v>
      </c>
      <c r="B556" s="90" t="str">
        <f>A556&amp;".How do you usually access this mobile money service..."&amp;'brand name'!$C$11&amp;"? "&amp;Other!P2</f>
        <v>MM11.10.1.How do you usually access this mobile money service...True Money? Over the counter or by using an agent’s account</v>
      </c>
      <c r="C556" s="57" t="s">
        <v>142</v>
      </c>
      <c r="D556" s="53" t="s">
        <v>38</v>
      </c>
      <c r="E556" s="53">
        <v>1</v>
      </c>
      <c r="F556" s="53">
        <f t="shared" si="144"/>
        <v>894</v>
      </c>
      <c r="G556" s="53">
        <f t="shared" si="145"/>
        <v>894</v>
      </c>
      <c r="H556" s="92" t="s">
        <v>720</v>
      </c>
      <c r="I556" s="53" t="str">
        <f t="shared" ref="I556:I562" si="146">SUBSTITUTE(A556, ".", "_")</f>
        <v>MM11_10_1</v>
      </c>
    </row>
    <row r="557" spans="1:9" s="3" customFormat="1" ht="25.5" x14ac:dyDescent="0.25">
      <c r="A557" s="53" t="s">
        <v>721</v>
      </c>
      <c r="B557" s="90" t="str">
        <f>A557&amp;".How do you usually access this mobile money service..."&amp;'brand name'!$C$11&amp;"? "&amp;Other!P3</f>
        <v>MM11.10.2.How do you usually access this mobile money service...True Money? Account of a family member in this household</v>
      </c>
      <c r="C557" s="57" t="s">
        <v>142</v>
      </c>
      <c r="D557" s="53" t="s">
        <v>38</v>
      </c>
      <c r="E557" s="53">
        <v>1</v>
      </c>
      <c r="F557" s="53">
        <f t="shared" si="144"/>
        <v>895</v>
      </c>
      <c r="G557" s="53">
        <f t="shared" si="145"/>
        <v>895</v>
      </c>
      <c r="H557" s="92" t="s">
        <v>720</v>
      </c>
      <c r="I557" s="53" t="str">
        <f t="shared" si="146"/>
        <v>MM11_10_2</v>
      </c>
    </row>
    <row r="558" spans="1:9" s="3" customFormat="1" ht="38.25" x14ac:dyDescent="0.25">
      <c r="A558" s="53" t="s">
        <v>722</v>
      </c>
      <c r="B558" s="90" t="str">
        <f>A558&amp;".How do you usually access this mobile money service..."&amp;'brand name'!$C$11&amp;"? "&amp;Other!P4</f>
        <v>MM11.10.3.How do you usually access this mobile money service...True Money? Account of a family member in another household, other relative, friend or a neighbor</v>
      </c>
      <c r="C558" s="57" t="s">
        <v>142</v>
      </c>
      <c r="D558" s="53" t="s">
        <v>38</v>
      </c>
      <c r="E558" s="53">
        <v>1</v>
      </c>
      <c r="F558" s="53">
        <f t="shared" si="144"/>
        <v>896</v>
      </c>
      <c r="G558" s="53">
        <f t="shared" si="145"/>
        <v>896</v>
      </c>
      <c r="H558" s="92" t="s">
        <v>720</v>
      </c>
      <c r="I558" s="53" t="str">
        <f t="shared" si="146"/>
        <v>MM11_10_3</v>
      </c>
    </row>
    <row r="559" spans="1:9" s="3" customFormat="1" ht="25.5" x14ac:dyDescent="0.25">
      <c r="A559" s="53" t="s">
        <v>723</v>
      </c>
      <c r="B559" s="90" t="str">
        <f>A559&amp;".How do you usually access this mobile money service..."&amp;'brand name'!$C$11&amp;"? "&amp;Other!P5</f>
        <v>MM11.10.4.How do you usually access this mobile money service...True Money? Account of a workmate or a business partner</v>
      </c>
      <c r="C559" s="57" t="s">
        <v>142</v>
      </c>
      <c r="D559" s="53" t="s">
        <v>38</v>
      </c>
      <c r="E559" s="53">
        <v>1</v>
      </c>
      <c r="F559" s="53">
        <f t="shared" si="144"/>
        <v>897</v>
      </c>
      <c r="G559" s="53">
        <f t="shared" si="145"/>
        <v>897</v>
      </c>
      <c r="H559" s="92" t="s">
        <v>720</v>
      </c>
      <c r="I559" s="53" t="str">
        <f t="shared" si="146"/>
        <v>MM11_10_4</v>
      </c>
    </row>
    <row r="560" spans="1:9" s="3" customFormat="1" ht="25.5" x14ac:dyDescent="0.25">
      <c r="A560" s="53" t="s">
        <v>724</v>
      </c>
      <c r="B560" s="90" t="str">
        <f>A560&amp;".How do you usually access this mobile money service..."&amp;'brand name'!$C$11&amp;"? "&amp;Other!P6</f>
        <v>MM11.10.5.How do you usually access this mobile money service...True Money? My own account</v>
      </c>
      <c r="C560" s="57" t="s">
        <v>142</v>
      </c>
      <c r="D560" s="53" t="s">
        <v>38</v>
      </c>
      <c r="E560" s="53">
        <v>1</v>
      </c>
      <c r="F560" s="53">
        <f t="shared" si="144"/>
        <v>898</v>
      </c>
      <c r="G560" s="53">
        <f t="shared" si="145"/>
        <v>898</v>
      </c>
      <c r="H560" s="92" t="s">
        <v>720</v>
      </c>
      <c r="I560" s="53" t="str">
        <f t="shared" si="146"/>
        <v>MM11_10_5</v>
      </c>
    </row>
    <row r="561" spans="1:10" s="3" customFormat="1" ht="31.5" customHeight="1" x14ac:dyDescent="0.25">
      <c r="A561" s="53" t="s">
        <v>725</v>
      </c>
      <c r="B561" s="90" t="str">
        <f>A561&amp;".How do you usually access this mobile money service..."&amp;'brand name'!$C$11&amp;"? "&amp;Other!P7</f>
        <v>MM11.10.6.How do you usually access this mobile money service...True Money? ATM</v>
      </c>
      <c r="C561" s="57" t="s">
        <v>142</v>
      </c>
      <c r="D561" s="53" t="s">
        <v>38</v>
      </c>
      <c r="E561" s="53">
        <v>1</v>
      </c>
      <c r="F561" s="53">
        <f t="shared" si="144"/>
        <v>899</v>
      </c>
      <c r="G561" s="53">
        <f t="shared" si="145"/>
        <v>899</v>
      </c>
      <c r="H561" s="92" t="s">
        <v>720</v>
      </c>
      <c r="I561" s="53" t="str">
        <f t="shared" si="146"/>
        <v>MM11_10_6</v>
      </c>
    </row>
    <row r="562" spans="1:10" s="3" customFormat="1" ht="25.5" x14ac:dyDescent="0.25">
      <c r="A562" s="53" t="s">
        <v>726</v>
      </c>
      <c r="B562" s="90" t="str">
        <f>A562&amp;".How do you usually access this mobile money service..."&amp;'brand name'!$C$11&amp;"? "&amp;Other!P8</f>
        <v>MM11.10.96.How do you usually access this mobile money service...True Money? Other (Specify)</v>
      </c>
      <c r="C562" s="57" t="s">
        <v>142</v>
      </c>
      <c r="D562" s="53" t="s">
        <v>38</v>
      </c>
      <c r="E562" s="53">
        <v>1</v>
      </c>
      <c r="F562" s="53">
        <f t="shared" ref="F562:F568" si="147">G561+1</f>
        <v>900</v>
      </c>
      <c r="G562" s="53">
        <f t="shared" ref="G562:G568" si="148">G561+E562</f>
        <v>900</v>
      </c>
      <c r="H562" s="92" t="s">
        <v>720</v>
      </c>
      <c r="I562" s="53" t="str">
        <f t="shared" si="146"/>
        <v>MM11_10_96</v>
      </c>
    </row>
    <row r="563" spans="1:10" s="3" customFormat="1" ht="25.5" x14ac:dyDescent="0.25">
      <c r="A563" s="53" t="s">
        <v>2378</v>
      </c>
      <c r="B563" s="90" t="str">
        <f>A563&amp;".How do you usually access this mobile money service..."&amp;'brand name'!$C$12&amp;"? "&amp;Other!P2</f>
        <v>MM11.11.1.How do you usually access this mobile money service...T-Bank? Over the counter or by using an agent’s account</v>
      </c>
      <c r="C563" s="57" t="s">
        <v>142</v>
      </c>
      <c r="D563" s="53" t="s">
        <v>38</v>
      </c>
      <c r="E563" s="53">
        <v>1</v>
      </c>
      <c r="F563" s="53">
        <f t="shared" si="147"/>
        <v>901</v>
      </c>
      <c r="G563" s="53">
        <f t="shared" si="148"/>
        <v>901</v>
      </c>
      <c r="H563" s="92" t="s">
        <v>2385</v>
      </c>
      <c r="I563" s="53" t="str">
        <f t="shared" ref="I563:I569" si="149">SUBSTITUTE(A563, ".", "_")</f>
        <v>MM11_11_1</v>
      </c>
    </row>
    <row r="564" spans="1:10" s="3" customFormat="1" ht="25.5" x14ac:dyDescent="0.25">
      <c r="A564" s="53" t="s">
        <v>2379</v>
      </c>
      <c r="B564" s="90" t="str">
        <f>A564&amp;".How do you usually access this mobile money service..."&amp;'brand name'!$C$12&amp;"? "&amp;Other!P3</f>
        <v>MM11.11.2.How do you usually access this mobile money service...T-Bank? Account of a family member in this household</v>
      </c>
      <c r="C564" s="57" t="s">
        <v>142</v>
      </c>
      <c r="D564" s="53" t="s">
        <v>38</v>
      </c>
      <c r="E564" s="53">
        <v>1</v>
      </c>
      <c r="F564" s="53">
        <f t="shared" si="147"/>
        <v>902</v>
      </c>
      <c r="G564" s="53">
        <f t="shared" si="148"/>
        <v>902</v>
      </c>
      <c r="H564" s="92" t="s">
        <v>2385</v>
      </c>
      <c r="I564" s="53" t="str">
        <f t="shared" si="149"/>
        <v>MM11_11_2</v>
      </c>
    </row>
    <row r="565" spans="1:10" s="3" customFormat="1" ht="38.25" x14ac:dyDescent="0.25">
      <c r="A565" s="53" t="s">
        <v>2380</v>
      </c>
      <c r="B565" s="90" t="str">
        <f>A565&amp;".How do you usually access this mobile money service..."&amp;'brand name'!$C$12&amp;"? "&amp;Other!P4</f>
        <v>MM11.11.3.How do you usually access this mobile money service...T-Bank? Account of a family member in another household, other relative, friend or a neighbor</v>
      </c>
      <c r="C565" s="57" t="s">
        <v>142</v>
      </c>
      <c r="D565" s="53" t="s">
        <v>38</v>
      </c>
      <c r="E565" s="53">
        <v>1</v>
      </c>
      <c r="F565" s="53">
        <f t="shared" si="147"/>
        <v>903</v>
      </c>
      <c r="G565" s="53">
        <f t="shared" si="148"/>
        <v>903</v>
      </c>
      <c r="H565" s="92" t="s">
        <v>2385</v>
      </c>
      <c r="I565" s="53" t="str">
        <f t="shared" si="149"/>
        <v>MM11_11_3</v>
      </c>
    </row>
    <row r="566" spans="1:10" s="3" customFormat="1" ht="25.5" x14ac:dyDescent="0.25">
      <c r="A566" s="53" t="s">
        <v>2381</v>
      </c>
      <c r="B566" s="90" t="str">
        <f>A566&amp;".How do you usually access this mobile money service..."&amp;'brand name'!$C$12&amp;"? "&amp;Other!P5</f>
        <v>MM11.11.4.How do you usually access this mobile money service...T-Bank? Account of a workmate or a business partner</v>
      </c>
      <c r="C566" s="57" t="s">
        <v>142</v>
      </c>
      <c r="D566" s="53" t="s">
        <v>38</v>
      </c>
      <c r="E566" s="53">
        <v>1</v>
      </c>
      <c r="F566" s="53">
        <f t="shared" si="147"/>
        <v>904</v>
      </c>
      <c r="G566" s="53">
        <f t="shared" si="148"/>
        <v>904</v>
      </c>
      <c r="H566" s="92" t="s">
        <v>2385</v>
      </c>
      <c r="I566" s="53" t="str">
        <f t="shared" si="149"/>
        <v>MM11_11_4</v>
      </c>
    </row>
    <row r="567" spans="1:10" s="3" customFormat="1" ht="25.5" x14ac:dyDescent="0.25">
      <c r="A567" s="53" t="s">
        <v>2382</v>
      </c>
      <c r="B567" s="90" t="str">
        <f>A567&amp;".How do you usually access this mobile money service..."&amp;'brand name'!$C$12&amp;"? "&amp;Other!P6</f>
        <v>MM11.11.5.How do you usually access this mobile money service...T-Bank? My own account</v>
      </c>
      <c r="C567" s="57" t="s">
        <v>142</v>
      </c>
      <c r="D567" s="53" t="s">
        <v>38</v>
      </c>
      <c r="E567" s="53">
        <v>1</v>
      </c>
      <c r="F567" s="53">
        <f t="shared" si="147"/>
        <v>905</v>
      </c>
      <c r="G567" s="53">
        <f t="shared" si="148"/>
        <v>905</v>
      </c>
      <c r="H567" s="92" t="s">
        <v>2385</v>
      </c>
      <c r="I567" s="53" t="str">
        <f t="shared" si="149"/>
        <v>MM11_11_5</v>
      </c>
    </row>
    <row r="568" spans="1:10" s="3" customFormat="1" ht="25.5" x14ac:dyDescent="0.25">
      <c r="A568" s="53" t="s">
        <v>2383</v>
      </c>
      <c r="B568" s="90" t="str">
        <f>A568&amp;".How do you usually access this mobile money service..."&amp;'brand name'!$C$12&amp;"? "&amp;Other!P7</f>
        <v>MM11.11.6.How do you usually access this mobile money service...T-Bank? ATM</v>
      </c>
      <c r="C568" s="57" t="s">
        <v>142</v>
      </c>
      <c r="D568" s="53" t="s">
        <v>38</v>
      </c>
      <c r="E568" s="53">
        <v>1</v>
      </c>
      <c r="F568" s="53">
        <f t="shared" si="147"/>
        <v>906</v>
      </c>
      <c r="G568" s="53">
        <f t="shared" si="148"/>
        <v>906</v>
      </c>
      <c r="H568" s="92" t="s">
        <v>2385</v>
      </c>
      <c r="I568" s="53" t="str">
        <f t="shared" si="149"/>
        <v>MM11_11_6</v>
      </c>
    </row>
    <row r="569" spans="1:10" s="3" customFormat="1" ht="25.5" x14ac:dyDescent="0.25">
      <c r="A569" s="53" t="s">
        <v>2384</v>
      </c>
      <c r="B569" s="90" t="str">
        <f>A569&amp;".How do you usually access this mobile money service..."&amp;'brand name'!$C$12&amp;"? "&amp;Other!P8</f>
        <v>MM11.11.96.How do you usually access this mobile money service...T-Bank? Other (Specify)</v>
      </c>
      <c r="C569" s="57" t="s">
        <v>142</v>
      </c>
      <c r="D569" s="53" t="s">
        <v>38</v>
      </c>
      <c r="E569" s="53">
        <v>1</v>
      </c>
      <c r="F569" s="53">
        <f>G568+1</f>
        <v>907</v>
      </c>
      <c r="G569" s="53">
        <f>G568+E569</f>
        <v>907</v>
      </c>
      <c r="H569" s="92" t="s">
        <v>2385</v>
      </c>
      <c r="I569" s="53" t="str">
        <f t="shared" si="149"/>
        <v>MM11_11_96</v>
      </c>
      <c r="J569" s="14"/>
    </row>
    <row r="570" spans="1:10" s="3" customFormat="1" ht="25.5" x14ac:dyDescent="0.25">
      <c r="A570" s="53" t="s">
        <v>727</v>
      </c>
      <c r="B570" s="90" t="str">
        <f>A570&amp;".How do you usually access this mobile money service..."&amp;'brand name'!$C$13&amp;"? "&amp;Other!P2</f>
        <v>MM11.96.1.How do you usually access this mobile money service...Other(Specify)? Over the counter or by using an agent’s account</v>
      </c>
      <c r="C570" s="57" t="s">
        <v>142</v>
      </c>
      <c r="D570" s="53" t="s">
        <v>38</v>
      </c>
      <c r="E570" s="53">
        <v>1</v>
      </c>
      <c r="F570" s="53">
        <f t="shared" ref="F570:F575" si="150">G569+1</f>
        <v>908</v>
      </c>
      <c r="G570" s="53">
        <f t="shared" ref="G570:G575" si="151">G569+E570</f>
        <v>908</v>
      </c>
      <c r="H570" s="92" t="s">
        <v>728</v>
      </c>
      <c r="I570" s="53" t="str">
        <f t="shared" ref="I570:I576" si="152">SUBSTITUTE(A570, ".", "_")</f>
        <v>MM11_96_1</v>
      </c>
    </row>
    <row r="571" spans="1:10" s="3" customFormat="1" ht="25.5" x14ac:dyDescent="0.25">
      <c r="A571" s="53" t="s">
        <v>729</v>
      </c>
      <c r="B571" s="90" t="str">
        <f>A571&amp;".How do you usually access this mobile money service..."&amp;'brand name'!$C$13&amp;"? "&amp;Other!P3</f>
        <v>MM11.96.2.How do you usually access this mobile money service...Other(Specify)? Account of a family member in this household</v>
      </c>
      <c r="C571" s="57" t="s">
        <v>142</v>
      </c>
      <c r="D571" s="53" t="s">
        <v>38</v>
      </c>
      <c r="E571" s="53">
        <v>1</v>
      </c>
      <c r="F571" s="53">
        <f t="shared" si="150"/>
        <v>909</v>
      </c>
      <c r="G571" s="53">
        <f t="shared" si="151"/>
        <v>909</v>
      </c>
      <c r="H571" s="92" t="s">
        <v>728</v>
      </c>
      <c r="I571" s="53" t="str">
        <f t="shared" si="152"/>
        <v>MM11_96_2</v>
      </c>
    </row>
    <row r="572" spans="1:10" s="3" customFormat="1" ht="38.25" x14ac:dyDescent="0.25">
      <c r="A572" s="53" t="s">
        <v>730</v>
      </c>
      <c r="B572" s="90" t="str">
        <f>A572&amp;".How do you usually access this mobile money service..."&amp;'brand name'!$C$13&amp;"? "&amp;Other!P4</f>
        <v>MM11.96.3.How do you usually access this mobile money service...Other(Specify)? Account of a family member in another household, other relative, friend or a neighbor</v>
      </c>
      <c r="C572" s="57" t="s">
        <v>142</v>
      </c>
      <c r="D572" s="53" t="s">
        <v>38</v>
      </c>
      <c r="E572" s="53">
        <v>1</v>
      </c>
      <c r="F572" s="53">
        <f t="shared" si="150"/>
        <v>910</v>
      </c>
      <c r="G572" s="53">
        <f t="shared" si="151"/>
        <v>910</v>
      </c>
      <c r="H572" s="92" t="s">
        <v>728</v>
      </c>
      <c r="I572" s="53" t="str">
        <f t="shared" si="152"/>
        <v>MM11_96_3</v>
      </c>
    </row>
    <row r="573" spans="1:10" s="3" customFormat="1" ht="25.5" x14ac:dyDescent="0.25">
      <c r="A573" s="53" t="s">
        <v>731</v>
      </c>
      <c r="B573" s="90" t="str">
        <f>A573&amp;".How do you usually access this mobile money service..."&amp;'brand name'!$C$13&amp;"? "&amp;Other!P5</f>
        <v>MM11.96.4.How do you usually access this mobile money service...Other(Specify)? Account of a workmate or a business partner</v>
      </c>
      <c r="C573" s="57" t="s">
        <v>142</v>
      </c>
      <c r="D573" s="53" t="s">
        <v>38</v>
      </c>
      <c r="E573" s="53">
        <v>1</v>
      </c>
      <c r="F573" s="53">
        <f t="shared" si="150"/>
        <v>911</v>
      </c>
      <c r="G573" s="53">
        <f t="shared" si="151"/>
        <v>911</v>
      </c>
      <c r="H573" s="92" t="s">
        <v>728</v>
      </c>
      <c r="I573" s="53" t="str">
        <f t="shared" si="152"/>
        <v>MM11_96_4</v>
      </c>
    </row>
    <row r="574" spans="1:10" s="3" customFormat="1" ht="25.5" x14ac:dyDescent="0.25">
      <c r="A574" s="53" t="s">
        <v>732</v>
      </c>
      <c r="B574" s="90" t="str">
        <f>A574&amp;".How do you usually access this mobile money service..."&amp;'brand name'!$C$13&amp;"? "&amp;Other!P6</f>
        <v>MM11.96.5.How do you usually access this mobile money service...Other(Specify)? My own account</v>
      </c>
      <c r="C574" s="57" t="s">
        <v>142</v>
      </c>
      <c r="D574" s="53" t="s">
        <v>38</v>
      </c>
      <c r="E574" s="53">
        <v>1</v>
      </c>
      <c r="F574" s="53">
        <f t="shared" si="150"/>
        <v>912</v>
      </c>
      <c r="G574" s="53">
        <f t="shared" si="151"/>
        <v>912</v>
      </c>
      <c r="H574" s="92" t="s">
        <v>728</v>
      </c>
      <c r="I574" s="53" t="str">
        <f t="shared" si="152"/>
        <v>MM11_96_5</v>
      </c>
    </row>
    <row r="575" spans="1:10" s="3" customFormat="1" ht="25.5" x14ac:dyDescent="0.25">
      <c r="A575" s="53" t="s">
        <v>733</v>
      </c>
      <c r="B575" s="90" t="str">
        <f>A575&amp;".How do you usually access this mobile money service..."&amp;'brand name'!$C$13&amp;"? "&amp;Other!P7</f>
        <v>MM11.96.6.How do you usually access this mobile money service...Other(Specify)? ATM</v>
      </c>
      <c r="C575" s="57" t="s">
        <v>142</v>
      </c>
      <c r="D575" s="53" t="s">
        <v>38</v>
      </c>
      <c r="E575" s="53">
        <v>1</v>
      </c>
      <c r="F575" s="53">
        <f t="shared" si="150"/>
        <v>913</v>
      </c>
      <c r="G575" s="53">
        <f t="shared" si="151"/>
        <v>913</v>
      </c>
      <c r="H575" s="92" t="s">
        <v>728</v>
      </c>
      <c r="I575" s="53" t="str">
        <f t="shared" si="152"/>
        <v>MM11_96_6</v>
      </c>
    </row>
    <row r="576" spans="1:10" s="3" customFormat="1" ht="25.5" x14ac:dyDescent="0.25">
      <c r="A576" s="53" t="s">
        <v>734</v>
      </c>
      <c r="B576" s="90" t="str">
        <f>A576&amp;".How do you usually access this mobile money service..."&amp;'brand name'!$C$13&amp;"? "&amp;Other!P8</f>
        <v>MM11.96.96.How do you usually access this mobile money service...Other(Specify)? Other (Specify)</v>
      </c>
      <c r="C576" s="57" t="s">
        <v>142</v>
      </c>
      <c r="D576" s="53" t="s">
        <v>38</v>
      </c>
      <c r="E576" s="53">
        <v>1</v>
      </c>
      <c r="F576" s="53">
        <f>G575+1</f>
        <v>914</v>
      </c>
      <c r="G576" s="53">
        <f>G575+E576</f>
        <v>914</v>
      </c>
      <c r="H576" s="92" t="s">
        <v>728</v>
      </c>
      <c r="I576" s="53" t="str">
        <f t="shared" si="152"/>
        <v>MM11_96_96</v>
      </c>
      <c r="J576" s="14"/>
    </row>
    <row r="577" spans="1:9" s="3" customFormat="1" ht="255" x14ac:dyDescent="0.25">
      <c r="A577" s="53" t="s">
        <v>735</v>
      </c>
      <c r="B577" s="90" t="s">
        <v>736</v>
      </c>
      <c r="C577" s="93" t="s">
        <v>737</v>
      </c>
      <c r="D577" s="53" t="s">
        <v>38</v>
      </c>
      <c r="E577" s="53">
        <v>2</v>
      </c>
      <c r="F577" s="53">
        <f t="shared" ref="F577" si="153">G576+1</f>
        <v>915</v>
      </c>
      <c r="G577" s="53">
        <f t="shared" ref="G577" si="154">G576+E577</f>
        <v>916</v>
      </c>
      <c r="H577" s="14" t="s">
        <v>2387</v>
      </c>
      <c r="I577" s="94" t="str">
        <f>A577</f>
        <v>MM12</v>
      </c>
    </row>
    <row r="578" spans="1:9" s="3" customFormat="1" ht="216.75" x14ac:dyDescent="0.25">
      <c r="A578" s="53" t="s">
        <v>738</v>
      </c>
      <c r="B578" s="90" t="s">
        <v>739</v>
      </c>
      <c r="C578" s="93" t="s">
        <v>740</v>
      </c>
      <c r="D578" s="53" t="s">
        <v>38</v>
      </c>
      <c r="E578" s="53">
        <v>2</v>
      </c>
      <c r="F578" s="53">
        <f>G577+1</f>
        <v>917</v>
      </c>
      <c r="G578" s="53">
        <f>G577+E578</f>
        <v>918</v>
      </c>
      <c r="H578" s="90" t="s">
        <v>2388</v>
      </c>
      <c r="I578" s="94" t="s">
        <v>738</v>
      </c>
    </row>
    <row r="579" spans="1:9" s="3" customFormat="1" ht="63.75" x14ac:dyDescent="0.25">
      <c r="A579" s="53" t="s">
        <v>741</v>
      </c>
      <c r="B579" s="90" t="str">
        <f>A579&amp;".What is the main reason you started using mobile money?"</f>
        <v>MM14.What is the main reason you started using mobile money?</v>
      </c>
      <c r="C579" s="95" t="s">
        <v>742</v>
      </c>
      <c r="D579" s="53" t="s">
        <v>38</v>
      </c>
      <c r="E579" s="53">
        <v>2</v>
      </c>
      <c r="F579" s="53">
        <f>G578+1</f>
        <v>919</v>
      </c>
      <c r="G579" s="53">
        <f>G578+E579</f>
        <v>920</v>
      </c>
      <c r="H579" s="14" t="s">
        <v>2389</v>
      </c>
      <c r="I579" s="94" t="s">
        <v>741</v>
      </c>
    </row>
    <row r="580" spans="1:9" s="3" customFormat="1" ht="63.75" x14ac:dyDescent="0.25">
      <c r="A580" s="53" t="s">
        <v>743</v>
      </c>
      <c r="B580" s="90" t="str">
        <f>A580&amp;".Have you ever used a mobile money account to do the following? "&amp;'MM15&amp;IFI'!B2</f>
        <v>MM15.1.Have you ever used a mobile money account to do the following? Deposit money</v>
      </c>
      <c r="C580" s="90" t="s">
        <v>142</v>
      </c>
      <c r="D580" s="53" t="s">
        <v>38</v>
      </c>
      <c r="E580" s="53">
        <v>1</v>
      </c>
      <c r="F580" s="53">
        <f t="shared" ref="F580:F603" si="155">G579+1</f>
        <v>921</v>
      </c>
      <c r="G580" s="53">
        <f t="shared" ref="G580:G603" si="156">G579+E580</f>
        <v>921</v>
      </c>
      <c r="H580" s="14" t="s">
        <v>2389</v>
      </c>
      <c r="I580" s="53" t="str">
        <f t="shared" ref="I580:I588" si="157">LEFT(A580,4)&amp;"_"&amp;RIGHT(A580,1)</f>
        <v>MM15_1</v>
      </c>
    </row>
    <row r="581" spans="1:9" s="3" customFormat="1" ht="63.75" x14ac:dyDescent="0.25">
      <c r="A581" s="53" t="s">
        <v>744</v>
      </c>
      <c r="B581" s="90" t="str">
        <f>A581&amp;".Have you ever used a mobile money account to do the following? "&amp;'MM15&amp;IFI'!B3</f>
        <v>MM15.2.Have you ever used a mobile money account to do the following? Withdraw money</v>
      </c>
      <c r="C581" s="90" t="s">
        <v>142</v>
      </c>
      <c r="D581" s="53" t="s">
        <v>38</v>
      </c>
      <c r="E581" s="53">
        <v>1</v>
      </c>
      <c r="F581" s="53">
        <f t="shared" si="155"/>
        <v>922</v>
      </c>
      <c r="G581" s="53">
        <f t="shared" si="156"/>
        <v>922</v>
      </c>
      <c r="H581" s="14" t="s">
        <v>2389</v>
      </c>
      <c r="I581" s="53" t="str">
        <f t="shared" si="157"/>
        <v>MM15_2</v>
      </c>
    </row>
    <row r="582" spans="1:9" s="3" customFormat="1" ht="63.75" x14ac:dyDescent="0.25">
      <c r="A582" s="53" t="s">
        <v>745</v>
      </c>
      <c r="B582" s="90" t="str">
        <f>A582&amp;".Have you ever used a mobile money account to do the following? "&amp;'MM15&amp;IFI'!B4</f>
        <v>MM15.3.Have you ever used a mobile money account to do the following? Buy airtime top-ups, pay mobile phone bill</v>
      </c>
      <c r="C582" s="90" t="s">
        <v>142</v>
      </c>
      <c r="D582" s="53" t="s">
        <v>38</v>
      </c>
      <c r="E582" s="53">
        <v>1</v>
      </c>
      <c r="F582" s="53">
        <f t="shared" si="155"/>
        <v>923</v>
      </c>
      <c r="G582" s="53">
        <f t="shared" si="156"/>
        <v>923</v>
      </c>
      <c r="H582" s="14" t="s">
        <v>2389</v>
      </c>
      <c r="I582" s="53" t="str">
        <f t="shared" si="157"/>
        <v>MM15_3</v>
      </c>
    </row>
    <row r="583" spans="1:9" s="3" customFormat="1" ht="63.75" x14ac:dyDescent="0.25">
      <c r="A583" s="53" t="s">
        <v>746</v>
      </c>
      <c r="B583" s="90" t="str">
        <f>A583&amp;".Have you ever used a mobile money account to do the following? "&amp;'MM15&amp;IFI'!B5</f>
        <v>MM15.4.Have you ever used a mobile money account to do the following? Pay a school fee</v>
      </c>
      <c r="C583" s="90" t="s">
        <v>142</v>
      </c>
      <c r="D583" s="53" t="s">
        <v>38</v>
      </c>
      <c r="E583" s="53">
        <v>1</v>
      </c>
      <c r="F583" s="53">
        <f t="shared" si="155"/>
        <v>924</v>
      </c>
      <c r="G583" s="53">
        <f t="shared" si="156"/>
        <v>924</v>
      </c>
      <c r="H583" s="14" t="s">
        <v>2389</v>
      </c>
      <c r="I583" s="53" t="str">
        <f t="shared" si="157"/>
        <v>MM15_4</v>
      </c>
    </row>
    <row r="584" spans="1:9" s="3" customFormat="1" ht="63.75" x14ac:dyDescent="0.25">
      <c r="A584" s="53" t="s">
        <v>747</v>
      </c>
      <c r="B584" s="90" t="str">
        <f>A584&amp;".Have you ever used a mobile money account to do the following? "&amp;'MM15&amp;IFI'!B6</f>
        <v>MM15.5.Have you ever used a mobile money account to do the following? Pay a medical bill</v>
      </c>
      <c r="C584" s="90" t="s">
        <v>142</v>
      </c>
      <c r="D584" s="53" t="s">
        <v>38</v>
      </c>
      <c r="E584" s="53">
        <v>1</v>
      </c>
      <c r="F584" s="53">
        <f t="shared" si="155"/>
        <v>925</v>
      </c>
      <c r="G584" s="53">
        <f t="shared" si="156"/>
        <v>925</v>
      </c>
      <c r="H584" s="14" t="s">
        <v>2389</v>
      </c>
      <c r="I584" s="53" t="str">
        <f t="shared" si="157"/>
        <v>MM15_5</v>
      </c>
    </row>
    <row r="585" spans="1:9" s="3" customFormat="1" ht="63.75" x14ac:dyDescent="0.25">
      <c r="A585" s="53" t="s">
        <v>748</v>
      </c>
      <c r="B585" s="90" t="str">
        <f>A585&amp;".Have you ever used a mobile money account to do the following? "&amp;'MM15&amp;IFI'!B7</f>
        <v xml:space="preserve">MM15.6.Have you ever used a mobile money account to do the following? Pay a utility bill (i.e., electricity, water, solar, TV/cable) </v>
      </c>
      <c r="C585" s="90" t="s">
        <v>142</v>
      </c>
      <c r="D585" s="53" t="s">
        <v>38</v>
      </c>
      <c r="E585" s="53">
        <v>1</v>
      </c>
      <c r="F585" s="53">
        <f t="shared" si="155"/>
        <v>926</v>
      </c>
      <c r="G585" s="53">
        <f t="shared" si="156"/>
        <v>926</v>
      </c>
      <c r="H585" s="14" t="s">
        <v>2389</v>
      </c>
      <c r="I585" s="53" t="str">
        <f t="shared" si="157"/>
        <v>MM15_6</v>
      </c>
    </row>
    <row r="586" spans="1:9" s="3" customFormat="1" ht="63.75" x14ac:dyDescent="0.25">
      <c r="A586" s="53" t="s">
        <v>749</v>
      </c>
      <c r="B586" s="90" t="str">
        <f>A586&amp;".Have you ever used a mobile money account to do the following? "&amp;'MM15&amp;IFI'!B8</f>
        <v>MM15.7.Have you ever used a mobile money account to do the following? Pay rent</v>
      </c>
      <c r="C586" s="90" t="s">
        <v>142</v>
      </c>
      <c r="D586" s="53" t="s">
        <v>38</v>
      </c>
      <c r="E586" s="53">
        <v>1</v>
      </c>
      <c r="F586" s="53">
        <f t="shared" si="155"/>
        <v>927</v>
      </c>
      <c r="G586" s="53">
        <f t="shared" si="156"/>
        <v>927</v>
      </c>
      <c r="H586" s="14" t="s">
        <v>2389</v>
      </c>
      <c r="I586" s="53" t="str">
        <f t="shared" si="157"/>
        <v>MM15_7</v>
      </c>
    </row>
    <row r="587" spans="1:9" s="3" customFormat="1" ht="63.75" x14ac:dyDescent="0.25">
      <c r="A587" s="53" t="s">
        <v>750</v>
      </c>
      <c r="B587" s="90" t="str">
        <f>A587&amp;".Have you ever used a mobile money account to do the following? "&amp;'MM15&amp;IFI'!B9</f>
        <v>MM15.8.Have you ever used a mobile money account to do the following? Pay a government bill, including tax, fine or fee</v>
      </c>
      <c r="C587" s="90" t="s">
        <v>142</v>
      </c>
      <c r="D587" s="53" t="s">
        <v>38</v>
      </c>
      <c r="E587" s="53">
        <v>1</v>
      </c>
      <c r="F587" s="53">
        <f t="shared" si="155"/>
        <v>928</v>
      </c>
      <c r="G587" s="53">
        <f t="shared" si="156"/>
        <v>928</v>
      </c>
      <c r="H587" s="14" t="s">
        <v>2389</v>
      </c>
      <c r="I587" s="53" t="str">
        <f t="shared" si="157"/>
        <v>MM15_8</v>
      </c>
    </row>
    <row r="588" spans="1:9" s="3" customFormat="1" ht="63.75" x14ac:dyDescent="0.25">
      <c r="A588" s="53" t="s">
        <v>751</v>
      </c>
      <c r="B588" s="90" t="str">
        <f>A588&amp;".Have you ever used a mobile money account to do the following? "&amp;'MM15&amp;IFI'!B10</f>
        <v>MM15.9.Have you ever used a mobile money account to do the following? Send money to family members, friends, workmates or other acquaintances for regular support/allowances, to help with emergencies, or for other reasons</v>
      </c>
      <c r="C588" s="90" t="s">
        <v>142</v>
      </c>
      <c r="D588" s="53" t="s">
        <v>38</v>
      </c>
      <c r="E588" s="53">
        <v>1</v>
      </c>
      <c r="F588" s="53">
        <f t="shared" si="155"/>
        <v>929</v>
      </c>
      <c r="G588" s="53">
        <f t="shared" si="156"/>
        <v>929</v>
      </c>
      <c r="H588" s="14" t="s">
        <v>2389</v>
      </c>
      <c r="I588" s="53" t="str">
        <f t="shared" si="157"/>
        <v>MM15_9</v>
      </c>
    </row>
    <row r="589" spans="1:9" s="3" customFormat="1" ht="63.75" x14ac:dyDescent="0.25">
      <c r="A589" s="53" t="s">
        <v>752</v>
      </c>
      <c r="B589" s="90" t="str">
        <f>A589&amp;".Have you ever used a mobile money account to do the following? "&amp;'MM15&amp;IFI'!B11</f>
        <v>MM15.10.Have you ever used a mobile money account to do the following? Receive money from family members, friends, workmates or other acquaintances for regular support/allowances, to help with emergencies, or for other reasons</v>
      </c>
      <c r="C589" s="90" t="s">
        <v>142</v>
      </c>
      <c r="D589" s="53" t="s">
        <v>38</v>
      </c>
      <c r="E589" s="53">
        <v>1</v>
      </c>
      <c r="F589" s="53">
        <f t="shared" si="155"/>
        <v>930</v>
      </c>
      <c r="G589" s="53">
        <f t="shared" si="156"/>
        <v>930</v>
      </c>
      <c r="H589" s="14" t="s">
        <v>2389</v>
      </c>
      <c r="I589" s="53" t="str">
        <f t="shared" ref="I589:I603" si="158">LEFT(A589,4)&amp;"_"&amp;RIGHT(A589,2)</f>
        <v>MM15_10</v>
      </c>
    </row>
    <row r="590" spans="1:9" s="3" customFormat="1" ht="63.75" x14ac:dyDescent="0.25">
      <c r="A590" s="53" t="s">
        <v>753</v>
      </c>
      <c r="B590" s="90" t="str">
        <f>A590&amp;".Have you ever used a mobile money account to do the following? "&amp;'MM15&amp;IFI'!B12</f>
        <v>MM15.11.Have you ever used a mobile money account to do the following? Receive welfare, pension or other benefit payment from the government</v>
      </c>
      <c r="C590" s="90" t="s">
        <v>142</v>
      </c>
      <c r="D590" s="53" t="s">
        <v>38</v>
      </c>
      <c r="E590" s="53">
        <v>1</v>
      </c>
      <c r="F590" s="53">
        <f t="shared" si="155"/>
        <v>931</v>
      </c>
      <c r="G590" s="53">
        <f t="shared" si="156"/>
        <v>931</v>
      </c>
      <c r="H590" s="14" t="s">
        <v>2389</v>
      </c>
      <c r="I590" s="53" t="str">
        <f t="shared" si="158"/>
        <v>MM15_11</v>
      </c>
    </row>
    <row r="591" spans="1:9" s="3" customFormat="1" ht="63.75" x14ac:dyDescent="0.25">
      <c r="A591" s="53" t="s">
        <v>754</v>
      </c>
      <c r="B591" s="90" t="str">
        <f>A591&amp;".Have you ever used a mobile money account to do the following? "&amp;'MM15&amp;IFI'!B13</f>
        <v>MM15.12.Have you ever used a mobile money account to do the following? Receive wages for primary or secondary job</v>
      </c>
      <c r="C591" s="90" t="s">
        <v>142</v>
      </c>
      <c r="D591" s="53" t="s">
        <v>38</v>
      </c>
      <c r="E591" s="53">
        <v>1</v>
      </c>
      <c r="F591" s="53">
        <f t="shared" si="155"/>
        <v>932</v>
      </c>
      <c r="G591" s="53">
        <f t="shared" si="156"/>
        <v>932</v>
      </c>
      <c r="H591" s="14" t="s">
        <v>2389</v>
      </c>
      <c r="I591" s="53" t="str">
        <f t="shared" si="158"/>
        <v>MM15_12</v>
      </c>
    </row>
    <row r="592" spans="1:9" s="3" customFormat="1" ht="63.75" x14ac:dyDescent="0.25">
      <c r="A592" s="53" t="s">
        <v>755</v>
      </c>
      <c r="B592" s="90" t="str">
        <f>A592&amp;".Have you ever used a mobile money account to do the following? "&amp;'MM15&amp;IFI'!B14</f>
        <v>MM15.13.Have you ever used a mobile money account to do the following? Pay for large acquisitions, including land, cattle, residence</v>
      </c>
      <c r="C592" s="90" t="s">
        <v>142</v>
      </c>
      <c r="D592" s="53" t="s">
        <v>38</v>
      </c>
      <c r="E592" s="53">
        <v>1</v>
      </c>
      <c r="F592" s="53">
        <f t="shared" si="155"/>
        <v>933</v>
      </c>
      <c r="G592" s="53">
        <f t="shared" si="156"/>
        <v>933</v>
      </c>
      <c r="H592" s="14" t="s">
        <v>2389</v>
      </c>
      <c r="I592" s="53" t="str">
        <f t="shared" si="158"/>
        <v>MM15_13</v>
      </c>
    </row>
    <row r="593" spans="1:9" s="3" customFormat="1" ht="63.75" x14ac:dyDescent="0.25">
      <c r="A593" s="53" t="s">
        <v>756</v>
      </c>
      <c r="B593" s="90" t="str">
        <f>A593&amp;".Have you ever used a mobile money account to do the following? "&amp;'MM15&amp;IFI'!B15</f>
        <v>MM15.14.Have you ever used a mobile money account to do the following? Make insurance-related payments or receive claims on insurance</v>
      </c>
      <c r="C593" s="90" t="s">
        <v>142</v>
      </c>
      <c r="D593" s="53" t="s">
        <v>38</v>
      </c>
      <c r="E593" s="53">
        <v>1</v>
      </c>
      <c r="F593" s="53">
        <f t="shared" si="155"/>
        <v>934</v>
      </c>
      <c r="G593" s="53">
        <f t="shared" si="156"/>
        <v>934</v>
      </c>
      <c r="H593" s="14" t="s">
        <v>2389</v>
      </c>
      <c r="I593" s="53" t="str">
        <f t="shared" si="158"/>
        <v>MM15_14</v>
      </c>
    </row>
    <row r="594" spans="1:9" s="3" customFormat="1" ht="63.75" x14ac:dyDescent="0.25">
      <c r="A594" s="53" t="s">
        <v>757</v>
      </c>
      <c r="B594" s="90" t="str">
        <f>A594&amp;".Have you ever used a mobile money account to do the following? "&amp;'MM15&amp;IFI'!B16</f>
        <v>MM15.15.Have you ever used a mobile money account to do the following? Take a loan or make payments on a loan, give a loan or receive payments on a loan</v>
      </c>
      <c r="C594" s="90" t="s">
        <v>142</v>
      </c>
      <c r="D594" s="53" t="s">
        <v>38</v>
      </c>
      <c r="E594" s="53">
        <v>1</v>
      </c>
      <c r="F594" s="53">
        <f t="shared" si="155"/>
        <v>935</v>
      </c>
      <c r="G594" s="53">
        <f t="shared" si="156"/>
        <v>935</v>
      </c>
      <c r="H594" s="14" t="s">
        <v>2389</v>
      </c>
      <c r="I594" s="53" t="str">
        <f t="shared" si="158"/>
        <v>MM15_15</v>
      </c>
    </row>
    <row r="595" spans="1:9" s="3" customFormat="1" ht="63.75" x14ac:dyDescent="0.25">
      <c r="A595" s="53" t="s">
        <v>758</v>
      </c>
      <c r="B595" s="90" t="str">
        <f>A595&amp;".Have you ever used a mobile money account to do the following? "&amp;'MM15&amp;IFI'!B17</f>
        <v>MM15.16.Have you ever used a mobile money account to do the following? Save money for a future purchase or payment</v>
      </c>
      <c r="C595" s="90" t="s">
        <v>142</v>
      </c>
      <c r="D595" s="53" t="s">
        <v>38</v>
      </c>
      <c r="E595" s="53">
        <v>1</v>
      </c>
      <c r="F595" s="53">
        <f t="shared" si="155"/>
        <v>936</v>
      </c>
      <c r="G595" s="53">
        <f t="shared" si="156"/>
        <v>936</v>
      </c>
      <c r="H595" s="14" t="s">
        <v>2389</v>
      </c>
      <c r="I595" s="53" t="str">
        <f t="shared" si="158"/>
        <v>MM15_16</v>
      </c>
    </row>
    <row r="596" spans="1:9" s="3" customFormat="1" ht="63.75" x14ac:dyDescent="0.25">
      <c r="A596" s="53" t="s">
        <v>759</v>
      </c>
      <c r="B596" s="90" t="str">
        <f>A596&amp;".Have you ever used a mobile money account to do the following? "&amp;'MM15&amp;IFI'!B18</f>
        <v>MM15.17.Have you ever used a mobile money account to do the following? Set aside money for pension, paid pension contributions</v>
      </c>
      <c r="C596" s="90" t="s">
        <v>142</v>
      </c>
      <c r="D596" s="53" t="s">
        <v>38</v>
      </c>
      <c r="E596" s="53">
        <v>1</v>
      </c>
      <c r="F596" s="53">
        <f t="shared" si="155"/>
        <v>937</v>
      </c>
      <c r="G596" s="53">
        <f t="shared" si="156"/>
        <v>937</v>
      </c>
      <c r="H596" s="14" t="s">
        <v>2389</v>
      </c>
      <c r="I596" s="53" t="str">
        <f t="shared" si="158"/>
        <v>MM15_17</v>
      </c>
    </row>
    <row r="597" spans="1:9" s="3" customFormat="1" ht="63.75" x14ac:dyDescent="0.25">
      <c r="A597" s="53" t="s">
        <v>760</v>
      </c>
      <c r="B597" s="90" t="str">
        <f>A597&amp;".Have you ever used a mobile money account to do the following? "&amp;'MM15&amp;IFI'!B19</f>
        <v>MM15.18.Have you ever used a mobile money account to do the following? Set money aside just in case/for an undetermined purpose</v>
      </c>
      <c r="C597" s="90" t="s">
        <v>142</v>
      </c>
      <c r="D597" s="53" t="s">
        <v>38</v>
      </c>
      <c r="E597" s="53">
        <v>1</v>
      </c>
      <c r="F597" s="53">
        <f t="shared" si="155"/>
        <v>938</v>
      </c>
      <c r="G597" s="53">
        <f t="shared" si="156"/>
        <v>938</v>
      </c>
      <c r="H597" s="14" t="s">
        <v>2389</v>
      </c>
      <c r="I597" s="53" t="str">
        <f t="shared" si="158"/>
        <v>MM15_18</v>
      </c>
    </row>
    <row r="598" spans="1:9" s="3" customFormat="1" ht="63.75" x14ac:dyDescent="0.25">
      <c r="A598" s="53" t="s">
        <v>761</v>
      </c>
      <c r="B598" s="90" t="str">
        <f>A598&amp;".Have you ever used a mobile money account to do the following? "&amp;'MM15&amp;IFI'!B20</f>
        <v>MM15.19.Have you ever used a mobile money account to do the following? Make an investment, including buy stock or shares</v>
      </c>
      <c r="C598" s="90" t="s">
        <v>142</v>
      </c>
      <c r="D598" s="53" t="s">
        <v>38</v>
      </c>
      <c r="E598" s="53">
        <v>1</v>
      </c>
      <c r="F598" s="53">
        <f t="shared" si="155"/>
        <v>939</v>
      </c>
      <c r="G598" s="53">
        <f t="shared" si="156"/>
        <v>939</v>
      </c>
      <c r="H598" s="14" t="s">
        <v>2389</v>
      </c>
      <c r="I598" s="53" t="str">
        <f t="shared" si="158"/>
        <v>MM15_19</v>
      </c>
    </row>
    <row r="599" spans="1:9" s="3" customFormat="1" ht="63.75" x14ac:dyDescent="0.25">
      <c r="A599" s="53" t="s">
        <v>762</v>
      </c>
      <c r="B599" s="90" t="str">
        <f>A599&amp;".Have you ever used a mobile money account to do the following? "&amp;'MM15&amp;IFI'!B21</f>
        <v>MM15.20.Have you ever used a mobile money account to do the following? Pay for goods or services at a grocery store, clothing shop or any other store/shop</v>
      </c>
      <c r="C599" s="90" t="s">
        <v>142</v>
      </c>
      <c r="D599" s="53" t="s">
        <v>38</v>
      </c>
      <c r="E599" s="53">
        <v>1</v>
      </c>
      <c r="F599" s="53">
        <f t="shared" si="155"/>
        <v>940</v>
      </c>
      <c r="G599" s="53">
        <f t="shared" si="156"/>
        <v>940</v>
      </c>
      <c r="H599" s="14" t="s">
        <v>2389</v>
      </c>
      <c r="I599" s="53" t="str">
        <f t="shared" si="158"/>
        <v>MM15_20</v>
      </c>
    </row>
    <row r="600" spans="1:9" s="3" customFormat="1" ht="63.75" x14ac:dyDescent="0.25">
      <c r="A600" s="53" t="s">
        <v>763</v>
      </c>
      <c r="B600" s="90" t="str">
        <f>A600&amp;".Have you ever used a mobile money account to do the following? "&amp;'MM15&amp;IFI'!B22</f>
        <v>MM15.21.Have you ever used a mobile money account to do the following? Transfer money from a mobile money account to an account at another financial institution (MFI, etc.)</v>
      </c>
      <c r="C600" s="90" t="s">
        <v>142</v>
      </c>
      <c r="D600" s="53" t="s">
        <v>38</v>
      </c>
      <c r="E600" s="53">
        <v>1</v>
      </c>
      <c r="F600" s="53">
        <f t="shared" si="155"/>
        <v>941</v>
      </c>
      <c r="G600" s="53">
        <f t="shared" si="156"/>
        <v>941</v>
      </c>
      <c r="H600" s="14" t="s">
        <v>2389</v>
      </c>
      <c r="I600" s="53" t="str">
        <f t="shared" si="158"/>
        <v>MM15_21</v>
      </c>
    </row>
    <row r="601" spans="1:9" s="3" customFormat="1" ht="63.75" x14ac:dyDescent="0.25">
      <c r="A601" s="53" t="s">
        <v>764</v>
      </c>
      <c r="B601" s="90" t="str">
        <f>A601&amp;".Have you ever used a mobile money account to do the following? "&amp;'MM15&amp;IFI'!B23</f>
        <v>MM15.22.Have you ever used a mobile money account to do the following? Pay money to or receive money from your Savings and/or lending group</v>
      </c>
      <c r="C601" s="90" t="s">
        <v>142</v>
      </c>
      <c r="D601" s="53" t="s">
        <v>38</v>
      </c>
      <c r="E601" s="53">
        <v>1</v>
      </c>
      <c r="F601" s="53">
        <f t="shared" si="155"/>
        <v>942</v>
      </c>
      <c r="G601" s="53">
        <f t="shared" si="156"/>
        <v>942</v>
      </c>
      <c r="H601" s="14" t="s">
        <v>2389</v>
      </c>
      <c r="I601" s="53" t="str">
        <f t="shared" si="158"/>
        <v>MM15_22</v>
      </c>
    </row>
    <row r="602" spans="1:9" s="3" customFormat="1" ht="63.75" x14ac:dyDescent="0.25">
      <c r="A602" s="53" t="s">
        <v>765</v>
      </c>
      <c r="B602" s="90" t="str">
        <f>A602&amp;".Have you ever used a mobile money account to do the following? "&amp;'MM15&amp;IFI'!B24</f>
        <v>MM15.23.Have you ever used a mobile money account to do the following? Account maintenance: Check your account balance, change PIN, receive mini-statement, etc.</v>
      </c>
      <c r="C602" s="90" t="s">
        <v>142</v>
      </c>
      <c r="D602" s="53" t="s">
        <v>38</v>
      </c>
      <c r="E602" s="53">
        <v>1</v>
      </c>
      <c r="F602" s="53">
        <f t="shared" si="155"/>
        <v>943</v>
      </c>
      <c r="G602" s="53">
        <f t="shared" si="156"/>
        <v>943</v>
      </c>
      <c r="H602" s="14" t="s">
        <v>2389</v>
      </c>
      <c r="I602" s="53" t="str">
        <f t="shared" si="158"/>
        <v>MM15_23</v>
      </c>
    </row>
    <row r="603" spans="1:9" s="3" customFormat="1" ht="63.75" x14ac:dyDescent="0.25">
      <c r="A603" s="53" t="s">
        <v>766</v>
      </c>
      <c r="B603" s="90" t="str">
        <f>A603&amp;".Have you ever used a mobile money account to do the following? "&amp;'MM15&amp;IFI'!B25</f>
        <v>MM15.96.Have you ever used a mobile money account to do the following? Other (Specify)</v>
      </c>
      <c r="C603" s="90" t="s">
        <v>142</v>
      </c>
      <c r="D603" s="53" t="s">
        <v>38</v>
      </c>
      <c r="E603" s="53">
        <v>1</v>
      </c>
      <c r="F603" s="53">
        <f t="shared" si="155"/>
        <v>944</v>
      </c>
      <c r="G603" s="53">
        <f t="shared" si="156"/>
        <v>944</v>
      </c>
      <c r="H603" s="14" t="s">
        <v>2389</v>
      </c>
      <c r="I603" s="53" t="str">
        <f t="shared" si="158"/>
        <v>MM15_96</v>
      </c>
    </row>
    <row r="604" spans="1:9" s="3" customFormat="1" ht="76.5" x14ac:dyDescent="0.25">
      <c r="A604" s="53" t="s">
        <v>767</v>
      </c>
      <c r="B604" s="90" t="str">
        <f>A604&amp;".Beside today, when was the last time you used mobile money for this activity?"&amp;'MM15&amp;IFI'!B2</f>
        <v>MM17.1.Beside today, when was the last time you used mobile money for this activity?Deposit money</v>
      </c>
      <c r="C604" s="90" t="s">
        <v>625</v>
      </c>
      <c r="D604" s="53" t="s">
        <v>38</v>
      </c>
      <c r="E604" s="53">
        <v>1</v>
      </c>
      <c r="F604" s="53">
        <f>G603+1</f>
        <v>945</v>
      </c>
      <c r="G604" s="53">
        <f>G603+E604</f>
        <v>945</v>
      </c>
      <c r="H604" s="90" t="str">
        <f t="shared" ref="H604:H627" si="159">"IF "&amp;I580&amp;"=1"</f>
        <v>IF MM15_1=1</v>
      </c>
      <c r="I604" s="94" t="str">
        <f t="shared" ref="I604:I612" si="160">LEFT(A604,4)&amp;"_"&amp;RIGHT(A604,1)</f>
        <v>MM17_1</v>
      </c>
    </row>
    <row r="605" spans="1:9" s="3" customFormat="1" ht="76.5" x14ac:dyDescent="0.25">
      <c r="A605" s="53" t="s">
        <v>768</v>
      </c>
      <c r="B605" s="90" t="str">
        <f>A605&amp;".Beside today, when was the last time you used mobile money for this activity?"&amp;'MM15&amp;IFI'!B3</f>
        <v>MM17.2.Beside today, when was the last time you used mobile money for this activity?Withdraw money</v>
      </c>
      <c r="C605" s="90" t="s">
        <v>625</v>
      </c>
      <c r="D605" s="53" t="s">
        <v>38</v>
      </c>
      <c r="E605" s="53">
        <v>1</v>
      </c>
      <c r="F605" s="53">
        <f t="shared" ref="F605:F610" si="161">G604+1</f>
        <v>946</v>
      </c>
      <c r="G605" s="53">
        <f t="shared" ref="G605:G610" si="162">G604+E605</f>
        <v>946</v>
      </c>
      <c r="H605" s="90" t="str">
        <f t="shared" si="159"/>
        <v>IF MM15_2=1</v>
      </c>
      <c r="I605" s="94" t="str">
        <f t="shared" si="160"/>
        <v>MM17_2</v>
      </c>
    </row>
    <row r="606" spans="1:9" s="3" customFormat="1" ht="76.5" x14ac:dyDescent="0.25">
      <c r="A606" s="53" t="s">
        <v>769</v>
      </c>
      <c r="B606" s="90" t="str">
        <f>A606&amp;".Beside today, when was the last time you used mobile money for this activity?"&amp;'MM15&amp;IFI'!B4</f>
        <v>MM17.3.Beside today, when was the last time you used mobile money for this activity?Buy airtime top-ups, pay mobile phone bill</v>
      </c>
      <c r="C606" s="90" t="s">
        <v>625</v>
      </c>
      <c r="D606" s="53" t="s">
        <v>38</v>
      </c>
      <c r="E606" s="53">
        <v>1</v>
      </c>
      <c r="F606" s="53">
        <f t="shared" si="161"/>
        <v>947</v>
      </c>
      <c r="G606" s="53">
        <f t="shared" si="162"/>
        <v>947</v>
      </c>
      <c r="H606" s="90" t="str">
        <f t="shared" si="159"/>
        <v>IF MM15_3=1</v>
      </c>
      <c r="I606" s="94" t="str">
        <f t="shared" si="160"/>
        <v>MM17_3</v>
      </c>
    </row>
    <row r="607" spans="1:9" s="3" customFormat="1" ht="76.5" x14ac:dyDescent="0.25">
      <c r="A607" s="53" t="s">
        <v>770</v>
      </c>
      <c r="B607" s="90" t="str">
        <f>A607&amp;".Beside today, when was the last time you used mobile money for this activity?"&amp;'MM15&amp;IFI'!B5</f>
        <v>MM17.4.Beside today, when was the last time you used mobile money for this activity?Pay a school fee</v>
      </c>
      <c r="C607" s="90" t="s">
        <v>625</v>
      </c>
      <c r="D607" s="53" t="s">
        <v>38</v>
      </c>
      <c r="E607" s="53">
        <v>1</v>
      </c>
      <c r="F607" s="53">
        <f t="shared" si="161"/>
        <v>948</v>
      </c>
      <c r="G607" s="53">
        <f t="shared" si="162"/>
        <v>948</v>
      </c>
      <c r="H607" s="90" t="str">
        <f t="shared" si="159"/>
        <v>IF MM15_4=1</v>
      </c>
      <c r="I607" s="94" t="str">
        <f t="shared" si="160"/>
        <v>MM17_4</v>
      </c>
    </row>
    <row r="608" spans="1:9" s="3" customFormat="1" ht="76.5" x14ac:dyDescent="0.25">
      <c r="A608" s="53" t="s">
        <v>771</v>
      </c>
      <c r="B608" s="90" t="str">
        <f>A608&amp;".Beside today, when was the last time you used mobile money for this activity?"&amp;'MM15&amp;IFI'!B6</f>
        <v>MM17.5.Beside today, when was the last time you used mobile money for this activity?Pay a medical bill</v>
      </c>
      <c r="C608" s="90" t="s">
        <v>625</v>
      </c>
      <c r="D608" s="53" t="s">
        <v>38</v>
      </c>
      <c r="E608" s="53">
        <v>1</v>
      </c>
      <c r="F608" s="53">
        <f t="shared" si="161"/>
        <v>949</v>
      </c>
      <c r="G608" s="53">
        <f t="shared" si="162"/>
        <v>949</v>
      </c>
      <c r="H608" s="90" t="str">
        <f t="shared" si="159"/>
        <v>IF MM15_5=1</v>
      </c>
      <c r="I608" s="94" t="str">
        <f t="shared" si="160"/>
        <v>MM17_5</v>
      </c>
    </row>
    <row r="609" spans="1:9" s="3" customFormat="1" ht="76.5" x14ac:dyDescent="0.25">
      <c r="A609" s="53" t="s">
        <v>772</v>
      </c>
      <c r="B609" s="90" t="str">
        <f>A609&amp;".Beside today, when was the last time you used mobile money for this activity?"&amp;'MM15&amp;IFI'!B7</f>
        <v xml:space="preserve">MM17.6.Beside today, when was the last time you used mobile money for this activity?Pay a utility bill (i.e., electricity, water, solar, TV/cable) </v>
      </c>
      <c r="C609" s="90" t="s">
        <v>625</v>
      </c>
      <c r="D609" s="53" t="s">
        <v>38</v>
      </c>
      <c r="E609" s="53">
        <v>1</v>
      </c>
      <c r="F609" s="53">
        <f t="shared" si="161"/>
        <v>950</v>
      </c>
      <c r="G609" s="53">
        <f t="shared" si="162"/>
        <v>950</v>
      </c>
      <c r="H609" s="90" t="str">
        <f t="shared" si="159"/>
        <v>IF MM15_6=1</v>
      </c>
      <c r="I609" s="94" t="str">
        <f t="shared" si="160"/>
        <v>MM17_6</v>
      </c>
    </row>
    <row r="610" spans="1:9" s="3" customFormat="1" ht="76.5" x14ac:dyDescent="0.25">
      <c r="A610" s="53" t="s">
        <v>773</v>
      </c>
      <c r="B610" s="90" t="str">
        <f>A610&amp;".Beside today, when was the last time you used mobile money for this activity?"&amp;'MM15&amp;IFI'!B8</f>
        <v>MM17.7.Beside today, when was the last time you used mobile money for this activity?Pay rent</v>
      </c>
      <c r="C610" s="90" t="s">
        <v>625</v>
      </c>
      <c r="D610" s="53" t="s">
        <v>38</v>
      </c>
      <c r="E610" s="53">
        <v>1</v>
      </c>
      <c r="F610" s="53">
        <f t="shared" si="161"/>
        <v>951</v>
      </c>
      <c r="G610" s="53">
        <f t="shared" si="162"/>
        <v>951</v>
      </c>
      <c r="H610" s="90" t="str">
        <f t="shared" si="159"/>
        <v>IF MM15_7=1</v>
      </c>
      <c r="I610" s="94" t="str">
        <f t="shared" si="160"/>
        <v>MM17_7</v>
      </c>
    </row>
    <row r="611" spans="1:9" s="3" customFormat="1" ht="76.5" x14ac:dyDescent="0.25">
      <c r="A611" s="53" t="s">
        <v>774</v>
      </c>
      <c r="B611" s="90" t="str">
        <f>A611&amp;".Beside today, when was the last time you used mobile money for this activity?"&amp;'MM15&amp;IFI'!B9</f>
        <v>MM17.8.Beside today, when was the last time you used mobile money for this activity?Pay a government bill, including tax, fine or fee</v>
      </c>
      <c r="C611" s="90" t="s">
        <v>625</v>
      </c>
      <c r="D611" s="53" t="s">
        <v>38</v>
      </c>
      <c r="E611" s="53">
        <v>1</v>
      </c>
      <c r="F611" s="53">
        <f t="shared" ref="F611:F643" si="163">G610+1</f>
        <v>952</v>
      </c>
      <c r="G611" s="53">
        <f t="shared" ref="G611:G643" si="164">G610+E611</f>
        <v>952</v>
      </c>
      <c r="H611" s="90" t="str">
        <f t="shared" si="159"/>
        <v>IF MM15_8=1</v>
      </c>
      <c r="I611" s="94" t="str">
        <f t="shared" si="160"/>
        <v>MM17_8</v>
      </c>
    </row>
    <row r="612" spans="1:9" s="3" customFormat="1" ht="76.5" x14ac:dyDescent="0.25">
      <c r="A612" s="53" t="s">
        <v>775</v>
      </c>
      <c r="B612" s="90" t="str">
        <f>A612&amp;".Beside today, when was the last time you used mobile money for this activity?"&amp;'MM15&amp;IFI'!B10</f>
        <v>MM17.9.Beside today, when was the last time you used mobile money for this activity?Send money to family members, friends, workmates or other acquaintances for regular support/allowances, to help with emergencies, or for other reasons</v>
      </c>
      <c r="C612" s="90" t="s">
        <v>625</v>
      </c>
      <c r="D612" s="53" t="s">
        <v>38</v>
      </c>
      <c r="E612" s="53">
        <v>1</v>
      </c>
      <c r="F612" s="53">
        <f t="shared" si="163"/>
        <v>953</v>
      </c>
      <c r="G612" s="53">
        <f t="shared" si="164"/>
        <v>953</v>
      </c>
      <c r="H612" s="90" t="str">
        <f t="shared" si="159"/>
        <v>IF MM15_9=1</v>
      </c>
      <c r="I612" s="94" t="str">
        <f t="shared" si="160"/>
        <v>MM17_9</v>
      </c>
    </row>
    <row r="613" spans="1:9" s="3" customFormat="1" ht="76.5" x14ac:dyDescent="0.25">
      <c r="A613" s="53" t="s">
        <v>776</v>
      </c>
      <c r="B613" s="90" t="str">
        <f>A613&amp;".Beside today, when was the last time you used mobile money for this activity?"&amp;'MM15&amp;IFI'!B11</f>
        <v>MM17.10.Beside today, when was the last time you used mobile money for this activity?Receive money from family members, friends, workmates or other acquaintances for regular support/allowances, to help with emergencies, or for other reasons</v>
      </c>
      <c r="C613" s="90" t="s">
        <v>625</v>
      </c>
      <c r="D613" s="53" t="s">
        <v>38</v>
      </c>
      <c r="E613" s="53">
        <v>1</v>
      </c>
      <c r="F613" s="53">
        <f t="shared" si="163"/>
        <v>954</v>
      </c>
      <c r="G613" s="53">
        <f t="shared" si="164"/>
        <v>954</v>
      </c>
      <c r="H613" s="90" t="str">
        <f t="shared" si="159"/>
        <v>IF MM15_10=1</v>
      </c>
      <c r="I613" s="94" t="str">
        <f t="shared" ref="I613:I627" si="165">LEFT(A613,4)&amp;"_"&amp;RIGHT(A613,2)</f>
        <v>MM17_10</v>
      </c>
    </row>
    <row r="614" spans="1:9" s="3" customFormat="1" ht="76.5" x14ac:dyDescent="0.25">
      <c r="A614" s="53" t="s">
        <v>777</v>
      </c>
      <c r="B614" s="90" t="str">
        <f>A614&amp;".Beside today, when was the last time you used mobile money for this activity?"&amp;'MM15&amp;IFI'!B12</f>
        <v>MM17.11.Beside today, when was the last time you used mobile money for this activity?Receive welfare, pension or other benefit payment from the government</v>
      </c>
      <c r="C614" s="90" t="s">
        <v>625</v>
      </c>
      <c r="D614" s="53" t="s">
        <v>38</v>
      </c>
      <c r="E614" s="53">
        <v>1</v>
      </c>
      <c r="F614" s="53">
        <f t="shared" si="163"/>
        <v>955</v>
      </c>
      <c r="G614" s="53">
        <f t="shared" si="164"/>
        <v>955</v>
      </c>
      <c r="H614" s="90" t="str">
        <f t="shared" si="159"/>
        <v>IF MM15_11=1</v>
      </c>
      <c r="I614" s="94" t="str">
        <f t="shared" si="165"/>
        <v>MM17_11</v>
      </c>
    </row>
    <row r="615" spans="1:9" s="3" customFormat="1" ht="76.5" x14ac:dyDescent="0.25">
      <c r="A615" s="53" t="s">
        <v>778</v>
      </c>
      <c r="B615" s="90" t="str">
        <f>A615&amp;".Beside today, when was the last time you used mobile money for this activity?"&amp;'MM15&amp;IFI'!B13</f>
        <v>MM17.12.Beside today, when was the last time you used mobile money for this activity?Receive wages for primary or secondary job</v>
      </c>
      <c r="C615" s="90" t="s">
        <v>625</v>
      </c>
      <c r="D615" s="53" t="s">
        <v>38</v>
      </c>
      <c r="E615" s="53">
        <v>1</v>
      </c>
      <c r="F615" s="53">
        <f t="shared" si="163"/>
        <v>956</v>
      </c>
      <c r="G615" s="53">
        <f t="shared" si="164"/>
        <v>956</v>
      </c>
      <c r="H615" s="90" t="str">
        <f t="shared" si="159"/>
        <v>IF MM15_12=1</v>
      </c>
      <c r="I615" s="94" t="str">
        <f t="shared" si="165"/>
        <v>MM17_12</v>
      </c>
    </row>
    <row r="616" spans="1:9" s="3" customFormat="1" ht="76.5" x14ac:dyDescent="0.25">
      <c r="A616" s="53" t="s">
        <v>779</v>
      </c>
      <c r="B616" s="90" t="str">
        <f>A616&amp;".Beside today, when was the last time you used mobile money for this activity?"&amp;'MM15&amp;IFI'!B14</f>
        <v>MM17.13.Beside today, when was the last time you used mobile money for this activity?Pay for large acquisitions, including land, cattle, residence</v>
      </c>
      <c r="C616" s="90" t="s">
        <v>625</v>
      </c>
      <c r="D616" s="53" t="s">
        <v>38</v>
      </c>
      <c r="E616" s="53">
        <v>1</v>
      </c>
      <c r="F616" s="53">
        <f t="shared" si="163"/>
        <v>957</v>
      </c>
      <c r="G616" s="53">
        <f t="shared" si="164"/>
        <v>957</v>
      </c>
      <c r="H616" s="90" t="str">
        <f t="shared" si="159"/>
        <v>IF MM15_13=1</v>
      </c>
      <c r="I616" s="94" t="str">
        <f t="shared" si="165"/>
        <v>MM17_13</v>
      </c>
    </row>
    <row r="617" spans="1:9" s="3" customFormat="1" ht="76.5" x14ac:dyDescent="0.25">
      <c r="A617" s="53" t="s">
        <v>780</v>
      </c>
      <c r="B617" s="90" t="str">
        <f>A617&amp;".Beside today, when was the last time you used mobile money for this activity?"&amp;'MM15&amp;IFI'!B15</f>
        <v>MM17.14.Beside today, when was the last time you used mobile money for this activity?Make insurance-related payments or receive claims on insurance</v>
      </c>
      <c r="C617" s="90" t="s">
        <v>625</v>
      </c>
      <c r="D617" s="53" t="s">
        <v>38</v>
      </c>
      <c r="E617" s="53">
        <v>1</v>
      </c>
      <c r="F617" s="53">
        <f t="shared" si="163"/>
        <v>958</v>
      </c>
      <c r="G617" s="53">
        <f t="shared" si="164"/>
        <v>958</v>
      </c>
      <c r="H617" s="90" t="str">
        <f t="shared" si="159"/>
        <v>IF MM15_14=1</v>
      </c>
      <c r="I617" s="94" t="str">
        <f t="shared" si="165"/>
        <v>MM17_14</v>
      </c>
    </row>
    <row r="618" spans="1:9" s="3" customFormat="1" ht="76.5" x14ac:dyDescent="0.25">
      <c r="A618" s="53" t="s">
        <v>781</v>
      </c>
      <c r="B618" s="90" t="str">
        <f>A618&amp;".Beside today, when was the last time you used mobile money for this activity?"&amp;'MM15&amp;IFI'!B16</f>
        <v>MM17.15.Beside today, when was the last time you used mobile money for this activity?Take a loan or make payments on a loan, give a loan or receive payments on a loan</v>
      </c>
      <c r="C618" s="90" t="s">
        <v>625</v>
      </c>
      <c r="D618" s="53" t="s">
        <v>38</v>
      </c>
      <c r="E618" s="53">
        <v>1</v>
      </c>
      <c r="F618" s="53">
        <f t="shared" si="163"/>
        <v>959</v>
      </c>
      <c r="G618" s="53">
        <f t="shared" si="164"/>
        <v>959</v>
      </c>
      <c r="H618" s="90" t="str">
        <f t="shared" si="159"/>
        <v>IF MM15_15=1</v>
      </c>
      <c r="I618" s="94" t="str">
        <f t="shared" si="165"/>
        <v>MM17_15</v>
      </c>
    </row>
    <row r="619" spans="1:9" s="3" customFormat="1" ht="76.5" x14ac:dyDescent="0.25">
      <c r="A619" s="53" t="s">
        <v>782</v>
      </c>
      <c r="B619" s="90" t="str">
        <f>A619&amp;".Beside today, when was the last time you used mobile money for this activity?"&amp;'MM15&amp;IFI'!B17</f>
        <v>MM17.16.Beside today, when was the last time you used mobile money for this activity?Save money for a future purchase or payment</v>
      </c>
      <c r="C619" s="90" t="s">
        <v>625</v>
      </c>
      <c r="D619" s="53" t="s">
        <v>38</v>
      </c>
      <c r="E619" s="53">
        <v>1</v>
      </c>
      <c r="F619" s="53">
        <f t="shared" si="163"/>
        <v>960</v>
      </c>
      <c r="G619" s="53">
        <f t="shared" si="164"/>
        <v>960</v>
      </c>
      <c r="H619" s="90" t="str">
        <f t="shared" si="159"/>
        <v>IF MM15_16=1</v>
      </c>
      <c r="I619" s="94" t="str">
        <f t="shared" si="165"/>
        <v>MM17_16</v>
      </c>
    </row>
    <row r="620" spans="1:9" s="3" customFormat="1" ht="76.5" x14ac:dyDescent="0.25">
      <c r="A620" s="53" t="s">
        <v>783</v>
      </c>
      <c r="B620" s="90" t="str">
        <f>A620&amp;".Beside today, when was the last time you used mobile money for this activity?"&amp;'MM15&amp;IFI'!B18</f>
        <v>MM17.17.Beside today, when was the last time you used mobile money for this activity?Set aside money for pension, paid pension contributions</v>
      </c>
      <c r="C620" s="90" t="s">
        <v>625</v>
      </c>
      <c r="D620" s="53" t="s">
        <v>38</v>
      </c>
      <c r="E620" s="53">
        <v>1</v>
      </c>
      <c r="F620" s="53">
        <f t="shared" si="163"/>
        <v>961</v>
      </c>
      <c r="G620" s="53">
        <f t="shared" si="164"/>
        <v>961</v>
      </c>
      <c r="H620" s="90" t="str">
        <f t="shared" si="159"/>
        <v>IF MM15_17=1</v>
      </c>
      <c r="I620" s="94" t="str">
        <f t="shared" si="165"/>
        <v>MM17_17</v>
      </c>
    </row>
    <row r="621" spans="1:9" s="3" customFormat="1" ht="76.5" x14ac:dyDescent="0.25">
      <c r="A621" s="53" t="s">
        <v>784</v>
      </c>
      <c r="B621" s="90" t="str">
        <f>A621&amp;".Beside today, when was the last time you used mobile money for this activity?"&amp;'MM15&amp;IFI'!B19</f>
        <v>MM17.18.Beside today, when was the last time you used mobile money for this activity?Set money aside just in case/for an undetermined purpose</v>
      </c>
      <c r="C621" s="90" t="s">
        <v>625</v>
      </c>
      <c r="D621" s="53" t="s">
        <v>38</v>
      </c>
      <c r="E621" s="53">
        <v>1</v>
      </c>
      <c r="F621" s="53">
        <f t="shared" si="163"/>
        <v>962</v>
      </c>
      <c r="G621" s="53">
        <f t="shared" si="164"/>
        <v>962</v>
      </c>
      <c r="H621" s="90" t="str">
        <f t="shared" si="159"/>
        <v>IF MM15_18=1</v>
      </c>
      <c r="I621" s="94" t="str">
        <f t="shared" si="165"/>
        <v>MM17_18</v>
      </c>
    </row>
    <row r="622" spans="1:9" s="3" customFormat="1" ht="76.5" x14ac:dyDescent="0.25">
      <c r="A622" s="53" t="s">
        <v>785</v>
      </c>
      <c r="B622" s="90" t="str">
        <f>A622&amp;".Beside today, when was the last time you used mobile money for this activity?"&amp;'MM15&amp;IFI'!B20</f>
        <v>MM17.19.Beside today, when was the last time you used mobile money for this activity?Make an investment, including buy stock or shares</v>
      </c>
      <c r="C622" s="90" t="s">
        <v>625</v>
      </c>
      <c r="D622" s="53" t="s">
        <v>38</v>
      </c>
      <c r="E622" s="53">
        <v>1</v>
      </c>
      <c r="F622" s="53">
        <f t="shared" si="163"/>
        <v>963</v>
      </c>
      <c r="G622" s="53">
        <f t="shared" si="164"/>
        <v>963</v>
      </c>
      <c r="H622" s="90" t="str">
        <f t="shared" si="159"/>
        <v>IF MM15_19=1</v>
      </c>
      <c r="I622" s="94" t="str">
        <f t="shared" si="165"/>
        <v>MM17_19</v>
      </c>
    </row>
    <row r="623" spans="1:9" s="3" customFormat="1" ht="76.5" x14ac:dyDescent="0.25">
      <c r="A623" s="53" t="s">
        <v>786</v>
      </c>
      <c r="B623" s="90" t="str">
        <f>A623&amp;".Beside today, when was the last time you used mobile money for this activity?"&amp;'MM15&amp;IFI'!B21</f>
        <v>MM17.20.Beside today, when was the last time you used mobile money for this activity?Pay for goods or services at a grocery store, clothing shop or any other store/shop</v>
      </c>
      <c r="C623" s="90" t="s">
        <v>625</v>
      </c>
      <c r="D623" s="53" t="s">
        <v>38</v>
      </c>
      <c r="E623" s="53">
        <v>1</v>
      </c>
      <c r="F623" s="53">
        <f t="shared" si="163"/>
        <v>964</v>
      </c>
      <c r="G623" s="53">
        <f t="shared" si="164"/>
        <v>964</v>
      </c>
      <c r="H623" s="90" t="str">
        <f t="shared" si="159"/>
        <v>IF MM15_20=1</v>
      </c>
      <c r="I623" s="94" t="str">
        <f t="shared" si="165"/>
        <v>MM17_20</v>
      </c>
    </row>
    <row r="624" spans="1:9" s="3" customFormat="1" ht="76.5" x14ac:dyDescent="0.25">
      <c r="A624" s="53" t="s">
        <v>787</v>
      </c>
      <c r="B624" s="90" t="str">
        <f>A624&amp;".Beside today, when was the last time you used mobile money for this activity?"&amp;'MM15&amp;IFI'!B22</f>
        <v>MM17.21.Beside today, when was the last time you used mobile money for this activity?Transfer money from a mobile money account to an account at another financial institution (MFI, etc.)</v>
      </c>
      <c r="C624" s="90" t="s">
        <v>625</v>
      </c>
      <c r="D624" s="53" t="s">
        <v>38</v>
      </c>
      <c r="E624" s="53">
        <v>1</v>
      </c>
      <c r="F624" s="53">
        <f t="shared" si="163"/>
        <v>965</v>
      </c>
      <c r="G624" s="53">
        <f t="shared" si="164"/>
        <v>965</v>
      </c>
      <c r="H624" s="90" t="str">
        <f t="shared" si="159"/>
        <v>IF MM15_21=1</v>
      </c>
      <c r="I624" s="94" t="str">
        <f t="shared" si="165"/>
        <v>MM17_21</v>
      </c>
    </row>
    <row r="625" spans="1:9" s="3" customFormat="1" ht="76.5" x14ac:dyDescent="0.25">
      <c r="A625" s="53" t="s">
        <v>788</v>
      </c>
      <c r="B625" s="90" t="str">
        <f>A625&amp;".Beside today, when was the last time you used mobile money for this activity?"&amp;'MM15&amp;IFI'!B23</f>
        <v>MM17.22.Beside today, when was the last time you used mobile money for this activity?Pay money to or receive money from your Savings and/or lending group</v>
      </c>
      <c r="C625" s="90" t="s">
        <v>625</v>
      </c>
      <c r="D625" s="53" t="s">
        <v>38</v>
      </c>
      <c r="E625" s="53">
        <v>1</v>
      </c>
      <c r="F625" s="53">
        <f t="shared" si="163"/>
        <v>966</v>
      </c>
      <c r="G625" s="53">
        <f t="shared" si="164"/>
        <v>966</v>
      </c>
      <c r="H625" s="90" t="str">
        <f t="shared" si="159"/>
        <v>IF MM15_22=1</v>
      </c>
      <c r="I625" s="94" t="str">
        <f t="shared" si="165"/>
        <v>MM17_22</v>
      </c>
    </row>
    <row r="626" spans="1:9" s="3" customFormat="1" ht="76.5" x14ac:dyDescent="0.25">
      <c r="A626" s="53" t="s">
        <v>789</v>
      </c>
      <c r="B626" s="90" t="str">
        <f>A626&amp;".Beside today, when was the last time you used mobile money for this activity?"&amp;'MM15&amp;IFI'!B24</f>
        <v>MM17.23.Beside today, when was the last time you used mobile money for this activity?Account maintenance: Check your account balance, change PIN, receive mini-statement, etc.</v>
      </c>
      <c r="C626" s="90" t="s">
        <v>625</v>
      </c>
      <c r="D626" s="53" t="s">
        <v>38</v>
      </c>
      <c r="E626" s="53">
        <v>1</v>
      </c>
      <c r="F626" s="53">
        <f t="shared" si="163"/>
        <v>967</v>
      </c>
      <c r="G626" s="53">
        <f t="shared" si="164"/>
        <v>967</v>
      </c>
      <c r="H626" s="90" t="str">
        <f t="shared" si="159"/>
        <v>IF MM15_23=1</v>
      </c>
      <c r="I626" s="94" t="str">
        <f t="shared" si="165"/>
        <v>MM17_23</v>
      </c>
    </row>
    <row r="627" spans="1:9" s="3" customFormat="1" ht="84" customHeight="1" x14ac:dyDescent="0.25">
      <c r="A627" s="53" t="s">
        <v>790</v>
      </c>
      <c r="B627" s="90" t="str">
        <f>A627&amp;".Beside today, when was the last time you used mobile money for this activity?"&amp;'MM15&amp;IFI'!B25</f>
        <v>MM17.96.Beside today, when was the last time you used mobile money for this activity?Other (Specify)</v>
      </c>
      <c r="C627" s="90" t="s">
        <v>625</v>
      </c>
      <c r="D627" s="53" t="s">
        <v>38</v>
      </c>
      <c r="E627" s="53">
        <v>1</v>
      </c>
      <c r="F627" s="53">
        <f t="shared" si="163"/>
        <v>968</v>
      </c>
      <c r="G627" s="53">
        <f t="shared" si="164"/>
        <v>968</v>
      </c>
      <c r="H627" s="90" t="str">
        <f t="shared" si="159"/>
        <v>IF MM15_96=1</v>
      </c>
      <c r="I627" s="94" t="str">
        <f t="shared" si="165"/>
        <v>MM17_96</v>
      </c>
    </row>
    <row r="628" spans="1:9" s="3" customFormat="1" ht="30.75" customHeight="1" x14ac:dyDescent="0.25">
      <c r="A628" s="53" t="s">
        <v>791</v>
      </c>
      <c r="B628" s="90" t="s">
        <v>792</v>
      </c>
      <c r="C628" s="90" t="s">
        <v>142</v>
      </c>
      <c r="D628" s="53" t="s">
        <v>38</v>
      </c>
      <c r="E628" s="53">
        <v>1</v>
      </c>
      <c r="F628" s="53">
        <f t="shared" si="163"/>
        <v>969</v>
      </c>
      <c r="G628" s="53">
        <f t="shared" si="164"/>
        <v>969</v>
      </c>
      <c r="H628" s="90" t="s">
        <v>793</v>
      </c>
      <c r="I628" s="94" t="str">
        <f>A628</f>
        <v>MM17A</v>
      </c>
    </row>
    <row r="629" spans="1:9" s="3" customFormat="1" ht="25.5" x14ac:dyDescent="0.25">
      <c r="A629" s="53" t="s">
        <v>794</v>
      </c>
      <c r="B629" s="90" t="str">
        <f>A629&amp;".You mentioned that you use mobile money to send money to other people. Who do you send money most often?"</f>
        <v>MM18.You mentioned that you use mobile money to send money to other people. Who do you send money most often?</v>
      </c>
      <c r="C629" s="93" t="s">
        <v>795</v>
      </c>
      <c r="D629" s="53" t="s">
        <v>38</v>
      </c>
      <c r="E629" s="53">
        <v>2</v>
      </c>
      <c r="F629" s="53">
        <f t="shared" si="163"/>
        <v>970</v>
      </c>
      <c r="G629" s="53">
        <f t="shared" si="164"/>
        <v>971</v>
      </c>
      <c r="H629" s="3" t="s">
        <v>796</v>
      </c>
      <c r="I629" s="94" t="str">
        <f>LEFT(A629,4)</f>
        <v>MM18</v>
      </c>
    </row>
    <row r="630" spans="1:9" s="3" customFormat="1" ht="25.5" x14ac:dyDescent="0.25">
      <c r="A630" s="53" t="s">
        <v>797</v>
      </c>
      <c r="B630" s="90" t="str">
        <f>A630&amp;".You mentioned that you use mobile money to receive money from other people. From whom do you receive money most often?"</f>
        <v>MM19.You mentioned that you use mobile money to receive money from other people. From whom do you receive money most often?</v>
      </c>
      <c r="C630" s="93" t="s">
        <v>795</v>
      </c>
      <c r="D630" s="53" t="s">
        <v>38</v>
      </c>
      <c r="E630" s="53">
        <v>2</v>
      </c>
      <c r="F630" s="53">
        <f t="shared" si="163"/>
        <v>972</v>
      </c>
      <c r="G630" s="53">
        <f t="shared" si="164"/>
        <v>973</v>
      </c>
      <c r="H630" s="3" t="s">
        <v>798</v>
      </c>
      <c r="I630" s="94" t="str">
        <f>LEFT(A630,4)</f>
        <v>MM19</v>
      </c>
    </row>
    <row r="631" spans="1:9" s="3" customFormat="1" ht="25.5" x14ac:dyDescent="0.25">
      <c r="A631" s="53" t="s">
        <v>799</v>
      </c>
      <c r="B631" s="90" t="s">
        <v>800</v>
      </c>
      <c r="C631" s="93" t="s">
        <v>801</v>
      </c>
      <c r="D631" s="53" t="s">
        <v>38</v>
      </c>
      <c r="E631" s="53">
        <v>2</v>
      </c>
      <c r="F631" s="53">
        <f t="shared" si="163"/>
        <v>974</v>
      </c>
      <c r="G631" s="53">
        <f t="shared" si="164"/>
        <v>975</v>
      </c>
      <c r="H631" s="3" t="s">
        <v>798</v>
      </c>
      <c r="I631" s="94" t="str">
        <f>A631</f>
        <v>MM20</v>
      </c>
    </row>
    <row r="632" spans="1:9" s="3" customFormat="1" ht="51" x14ac:dyDescent="0.25">
      <c r="A632" s="53" t="s">
        <v>802</v>
      </c>
      <c r="B632" s="90" t="s">
        <v>803</v>
      </c>
      <c r="C632" s="90" t="s">
        <v>804</v>
      </c>
      <c r="D632" s="53" t="s">
        <v>38</v>
      </c>
      <c r="E632" s="53">
        <v>1</v>
      </c>
      <c r="F632" s="53">
        <f t="shared" si="163"/>
        <v>976</v>
      </c>
      <c r="G632" s="53">
        <f t="shared" si="164"/>
        <v>976</v>
      </c>
      <c r="H632" s="3" t="s">
        <v>805</v>
      </c>
      <c r="I632" s="94" t="str">
        <f>A632</f>
        <v>MM21</v>
      </c>
    </row>
    <row r="633" spans="1:9" s="3" customFormat="1" ht="25.5" x14ac:dyDescent="0.25">
      <c r="A633" s="53" t="s">
        <v>806</v>
      </c>
      <c r="B633" s="90" t="s">
        <v>807</v>
      </c>
      <c r="C633" s="90" t="s">
        <v>83</v>
      </c>
      <c r="D633" s="53" t="s">
        <v>16</v>
      </c>
      <c r="E633" s="53">
        <v>2</v>
      </c>
      <c r="F633" s="53">
        <f t="shared" si="163"/>
        <v>977</v>
      </c>
      <c r="G633" s="53">
        <f t="shared" si="164"/>
        <v>978</v>
      </c>
      <c r="H633" s="90" t="s">
        <v>808</v>
      </c>
      <c r="I633" s="94" t="str">
        <f>A633</f>
        <v>MM23</v>
      </c>
    </row>
    <row r="634" spans="1:9" s="3" customFormat="1" ht="63.75" x14ac:dyDescent="0.25">
      <c r="A634" s="53" t="s">
        <v>809</v>
      </c>
      <c r="B634" s="90" t="str">
        <f>A634&amp;".If you were to look for the latest information on how much it costs to send someone money using mobile money, where would go to look for that information? "&amp;Other!Q2</f>
        <v>MM24.1.If you were to look for the latest information on how much it costs to send someone money using mobile money, where would go to look for that information? Agent</v>
      </c>
      <c r="C634" s="90" t="s">
        <v>142</v>
      </c>
      <c r="D634" s="53" t="s">
        <v>38</v>
      </c>
      <c r="E634" s="53">
        <v>1</v>
      </c>
      <c r="F634" s="53">
        <f t="shared" si="163"/>
        <v>979</v>
      </c>
      <c r="G634" s="53">
        <f t="shared" si="164"/>
        <v>979</v>
      </c>
      <c r="H634" s="14" t="s">
        <v>2390</v>
      </c>
      <c r="I634" s="94" t="str">
        <f t="shared" ref="I634:I641" si="166">LEFT(A634,4)&amp;"_"&amp;RIGHT(A634,1)</f>
        <v>MM24_1</v>
      </c>
    </row>
    <row r="635" spans="1:9" s="3" customFormat="1" ht="63.75" x14ac:dyDescent="0.25">
      <c r="A635" s="53" t="s">
        <v>810</v>
      </c>
      <c r="B635" s="90" t="str">
        <f>A635&amp;".If you were to look for the latest information on how much it costs to send someone money using mobile money, where would go to look for that information? "&amp;Other!Q3</f>
        <v>MM24.2.If you were to look for the latest information on how much it costs to send someone money using mobile money, where would go to look for that information? Pricing sheet</v>
      </c>
      <c r="C635" s="90" t="s">
        <v>142</v>
      </c>
      <c r="D635" s="53" t="s">
        <v>38</v>
      </c>
      <c r="E635" s="53">
        <v>1</v>
      </c>
      <c r="F635" s="53">
        <f t="shared" si="163"/>
        <v>980</v>
      </c>
      <c r="G635" s="53">
        <f t="shared" si="164"/>
        <v>980</v>
      </c>
      <c r="H635" s="14" t="s">
        <v>2390</v>
      </c>
      <c r="I635" s="94" t="str">
        <f t="shared" si="166"/>
        <v>MM24_2</v>
      </c>
    </row>
    <row r="636" spans="1:9" s="3" customFormat="1" ht="63.75" x14ac:dyDescent="0.25">
      <c r="A636" s="53" t="s">
        <v>811</v>
      </c>
      <c r="B636" s="90" t="str">
        <f>A636&amp;".If you were to look for the latest information on how much it costs to send someone money using mobile money, where would go to look for that information? "&amp;Other!Q4</f>
        <v>MM24.3.If you were to look for the latest information on how much it costs to send someone money using mobile money, where would go to look for that information? Family member</v>
      </c>
      <c r="C636" s="90" t="s">
        <v>142</v>
      </c>
      <c r="D636" s="53" t="s">
        <v>38</v>
      </c>
      <c r="E636" s="53">
        <v>1</v>
      </c>
      <c r="F636" s="53">
        <f t="shared" si="163"/>
        <v>981</v>
      </c>
      <c r="G636" s="53">
        <f t="shared" si="164"/>
        <v>981</v>
      </c>
      <c r="H636" s="14" t="s">
        <v>2390</v>
      </c>
      <c r="I636" s="94" t="str">
        <f t="shared" si="166"/>
        <v>MM24_3</v>
      </c>
    </row>
    <row r="637" spans="1:9" s="3" customFormat="1" ht="63.75" x14ac:dyDescent="0.25">
      <c r="A637" s="53" t="s">
        <v>812</v>
      </c>
      <c r="B637" s="90" t="str">
        <f>A637&amp;".If you were to look for the latest information on how much it costs to send someone money using mobile money, where would go to look for that information? "&amp;Other!Q5</f>
        <v>MM24.4.If you were to look for the latest information on how much it costs to send someone money using mobile money, where would go to look for that information? Friend</v>
      </c>
      <c r="C637" s="90" t="s">
        <v>142</v>
      </c>
      <c r="D637" s="53" t="s">
        <v>38</v>
      </c>
      <c r="E637" s="53">
        <v>1</v>
      </c>
      <c r="F637" s="53">
        <f t="shared" si="163"/>
        <v>982</v>
      </c>
      <c r="G637" s="53">
        <f t="shared" si="164"/>
        <v>982</v>
      </c>
      <c r="H637" s="14" t="s">
        <v>2390</v>
      </c>
      <c r="I637" s="94" t="str">
        <f t="shared" si="166"/>
        <v>MM24_4</v>
      </c>
    </row>
    <row r="638" spans="1:9" s="3" customFormat="1" ht="63.75" x14ac:dyDescent="0.25">
      <c r="A638" s="53" t="s">
        <v>813</v>
      </c>
      <c r="B638" s="90" t="str">
        <f>A638&amp;".If you were to look for the latest information on how much it costs to send someone money using mobile money, where would go to look for that information? "&amp;Other!Q6</f>
        <v>MM24.5.If you were to look for the latest information on how much it costs to send someone money using mobile money, where would go to look for that information? Internet/ website</v>
      </c>
      <c r="C638" s="90" t="s">
        <v>142</v>
      </c>
      <c r="D638" s="53" t="s">
        <v>38</v>
      </c>
      <c r="E638" s="53">
        <v>1</v>
      </c>
      <c r="F638" s="53">
        <f t="shared" si="163"/>
        <v>983</v>
      </c>
      <c r="G638" s="53">
        <f t="shared" si="164"/>
        <v>983</v>
      </c>
      <c r="H638" s="14" t="s">
        <v>2390</v>
      </c>
      <c r="I638" s="94" t="str">
        <f t="shared" si="166"/>
        <v>MM24_5</v>
      </c>
    </row>
    <row r="639" spans="1:9" s="3" customFormat="1" ht="63.75" x14ac:dyDescent="0.25">
      <c r="A639" s="53" t="s">
        <v>814</v>
      </c>
      <c r="B639" s="90" t="str">
        <f>A639&amp;".If you were to look for the latest information on how much it costs to send someone money using mobile money, where would go to look for that information? "&amp;Other!Q7</f>
        <v>MM24.6.If you were to look for the latest information on how much it costs to send someone money using mobile money, where would go to look for that information? Phone</v>
      </c>
      <c r="C639" s="90" t="s">
        <v>142</v>
      </c>
      <c r="D639" s="53" t="s">
        <v>38</v>
      </c>
      <c r="E639" s="53">
        <v>1</v>
      </c>
      <c r="F639" s="53">
        <f t="shared" si="163"/>
        <v>984</v>
      </c>
      <c r="G639" s="53">
        <f t="shared" si="164"/>
        <v>984</v>
      </c>
      <c r="H639" s="14" t="s">
        <v>2390</v>
      </c>
      <c r="I639" s="94" t="str">
        <f t="shared" si="166"/>
        <v>MM24_6</v>
      </c>
    </row>
    <row r="640" spans="1:9" s="3" customFormat="1" ht="63.75" x14ac:dyDescent="0.25">
      <c r="A640" s="53" t="s">
        <v>815</v>
      </c>
      <c r="B640" s="90" t="str">
        <f>A640&amp;".If you were to look for the latest information on how much it costs to send someone money using mobile money, where would go to look for that information? "&amp;Other!Q8</f>
        <v>MM24.7.If you were to look for the latest information on how much it costs to send someone money using mobile money, where would go to look for that information? Provider’s in-person customer care center</v>
      </c>
      <c r="C640" s="90" t="s">
        <v>142</v>
      </c>
      <c r="D640" s="53" t="s">
        <v>38</v>
      </c>
      <c r="E640" s="53">
        <v>1</v>
      </c>
      <c r="F640" s="53">
        <f t="shared" si="163"/>
        <v>985</v>
      </c>
      <c r="G640" s="53">
        <f t="shared" si="164"/>
        <v>985</v>
      </c>
      <c r="H640" s="14" t="s">
        <v>2390</v>
      </c>
      <c r="I640" s="94" t="str">
        <f t="shared" si="166"/>
        <v>MM24_7</v>
      </c>
    </row>
    <row r="641" spans="1:9" s="3" customFormat="1" ht="63.75" x14ac:dyDescent="0.25">
      <c r="A641" s="53" t="s">
        <v>816</v>
      </c>
      <c r="B641" s="90" t="str">
        <f>A641&amp;".If you were to look for the latest information on how much it costs to send someone money using mobile money, where would go to look for that information? "&amp;Other!Q9</f>
        <v>MM24.8.If you were to look for the latest information on how much it costs to send someone money using mobile money, where would go to look for that information? Look in the mobile money app</v>
      </c>
      <c r="C641" s="90" t="s">
        <v>142</v>
      </c>
      <c r="D641" s="53" t="s">
        <v>38</v>
      </c>
      <c r="E641" s="53">
        <v>1</v>
      </c>
      <c r="F641" s="53">
        <f t="shared" si="163"/>
        <v>986</v>
      </c>
      <c r="G641" s="53">
        <f t="shared" si="164"/>
        <v>986</v>
      </c>
      <c r="H641" s="14" t="s">
        <v>2390</v>
      </c>
      <c r="I641" s="94" t="str">
        <f t="shared" si="166"/>
        <v>MM24_8</v>
      </c>
    </row>
    <row r="642" spans="1:9" ht="63.75" x14ac:dyDescent="0.25">
      <c r="A642" s="53" t="s">
        <v>817</v>
      </c>
      <c r="B642" s="90" t="str">
        <f>A642&amp;".If you were to look for the latest information on how much it costs to send someone money using mobile money, where would go to look for that information? "&amp;Other!Q10</f>
        <v>MM24.96.If you were to look for the latest information on how much it costs to send someone money using mobile money, where would go to look for that information? Other(Specify)</v>
      </c>
      <c r="C642" s="90" t="s">
        <v>142</v>
      </c>
      <c r="D642" s="53" t="s">
        <v>38</v>
      </c>
      <c r="E642" s="53">
        <v>1</v>
      </c>
      <c r="F642" s="53">
        <f t="shared" si="163"/>
        <v>987</v>
      </c>
      <c r="G642" s="53">
        <f t="shared" si="164"/>
        <v>987</v>
      </c>
      <c r="H642" s="14" t="s">
        <v>2390</v>
      </c>
      <c r="I642" s="94" t="str">
        <f>LEFT(A642,4)&amp;"_"&amp;RIGHT(A642,2)</f>
        <v>MM24_96</v>
      </c>
    </row>
    <row r="643" spans="1:9" ht="63.75" x14ac:dyDescent="0.25">
      <c r="A643" s="53" t="s">
        <v>818</v>
      </c>
      <c r="B643" s="90" t="str">
        <f>A643&amp;".To your best knowledge, when was the last time the pricing for mobile money transfer charges changed?  "</f>
        <v xml:space="preserve">MM25.To your best knowledge, when was the last time the pricing for mobile money transfer charges changed?  </v>
      </c>
      <c r="C643" s="90" t="s">
        <v>819</v>
      </c>
      <c r="D643" s="53" t="s">
        <v>38</v>
      </c>
      <c r="E643" s="53">
        <v>1</v>
      </c>
      <c r="F643" s="53">
        <f t="shared" si="163"/>
        <v>988</v>
      </c>
      <c r="G643" s="53">
        <f t="shared" si="164"/>
        <v>988</v>
      </c>
      <c r="H643" s="14" t="s">
        <v>2390</v>
      </c>
      <c r="I643" s="94" t="str">
        <f>A643</f>
        <v>MM25</v>
      </c>
    </row>
    <row r="644" spans="1:9" s="3" customFormat="1" x14ac:dyDescent="0.25">
      <c r="A644" s="121" t="s">
        <v>820</v>
      </c>
      <c r="B644" s="122" t="s">
        <v>379</v>
      </c>
      <c r="C644" s="122" t="s">
        <v>379</v>
      </c>
      <c r="D644" s="122" t="s">
        <v>379</v>
      </c>
      <c r="E644" s="122" t="s">
        <v>379</v>
      </c>
      <c r="F644" s="122" t="s">
        <v>379</v>
      </c>
      <c r="G644" s="122" t="s">
        <v>379</v>
      </c>
      <c r="H644" s="122" t="s">
        <v>379</v>
      </c>
      <c r="I644" s="123" t="s">
        <v>379</v>
      </c>
    </row>
    <row r="645" spans="1:9" s="3" customFormat="1" x14ac:dyDescent="0.25">
      <c r="A645" s="51" t="s">
        <v>4</v>
      </c>
      <c r="B645" s="52" t="s">
        <v>5</v>
      </c>
      <c r="C645" s="52" t="s">
        <v>6</v>
      </c>
      <c r="D645" s="51" t="s">
        <v>7</v>
      </c>
      <c r="E645" s="52" t="s">
        <v>8</v>
      </c>
      <c r="F645" s="52" t="s">
        <v>9</v>
      </c>
      <c r="G645" s="52" t="s">
        <v>10</v>
      </c>
      <c r="H645" s="52" t="s">
        <v>11</v>
      </c>
      <c r="I645" s="51" t="s">
        <v>12</v>
      </c>
    </row>
    <row r="646" spans="1:9" s="3" customFormat="1" ht="63.75" x14ac:dyDescent="0.25">
      <c r="A646" s="53" t="s">
        <v>821</v>
      </c>
      <c r="B646" s="96" t="str">
        <f>A646&amp;".When you use mobile money, which of the following do you use most frequently? "&amp;Other!R2</f>
        <v>MM28.1.When you use mobile money, which of the following do you use most frequently? Your own phone and your own SIM</v>
      </c>
      <c r="C646" s="96" t="s">
        <v>142</v>
      </c>
      <c r="D646" s="54" t="s">
        <v>38</v>
      </c>
      <c r="E646" s="53">
        <v>1</v>
      </c>
      <c r="F646" s="53">
        <f>G643+1</f>
        <v>989</v>
      </c>
      <c r="G646" s="53">
        <f>G643+E646</f>
        <v>989</v>
      </c>
      <c r="H646" s="14" t="s">
        <v>2390</v>
      </c>
      <c r="I646" s="97" t="str">
        <f t="shared" ref="I646:I651" si="167">LEFT(A646,4)&amp;"_"&amp;RIGHT(A646,1)</f>
        <v>MM28_1</v>
      </c>
    </row>
    <row r="647" spans="1:9" s="3" customFormat="1" ht="63.75" x14ac:dyDescent="0.25">
      <c r="A647" s="53" t="s">
        <v>822</v>
      </c>
      <c r="B647" s="96" t="str">
        <f>A647&amp;".When you use mobile money, which of the following do you use most frequently? "&amp;Other!R3</f>
        <v>MM28.2.When you use mobile money, which of the following do you use most frequently? Your own phone but someone else’s SIM</v>
      </c>
      <c r="C647" s="96" t="s">
        <v>142</v>
      </c>
      <c r="D647" s="54" t="s">
        <v>38</v>
      </c>
      <c r="E647" s="53">
        <v>1</v>
      </c>
      <c r="F647" s="53">
        <f>G646+1</f>
        <v>990</v>
      </c>
      <c r="G647" s="53">
        <f>G646+E647</f>
        <v>990</v>
      </c>
      <c r="H647" s="14" t="s">
        <v>2390</v>
      </c>
      <c r="I647" s="97" t="str">
        <f t="shared" si="167"/>
        <v>MM28_2</v>
      </c>
    </row>
    <row r="648" spans="1:9" s="3" customFormat="1" ht="63.75" x14ac:dyDescent="0.25">
      <c r="A648" s="53" t="s">
        <v>823</v>
      </c>
      <c r="B648" s="96" t="str">
        <f>A648&amp;".When you use mobile money, which of the following do you use most frequently? "&amp;Other!R4</f>
        <v>MM28.3.When you use mobile money, which of the following do you use most frequently? Your own SIM but borrow a phone from agent</v>
      </c>
      <c r="C648" s="96" t="s">
        <v>142</v>
      </c>
      <c r="D648" s="54" t="s">
        <v>38</v>
      </c>
      <c r="E648" s="53">
        <v>1</v>
      </c>
      <c r="F648" s="53">
        <f t="shared" ref="F648:F680" si="168">G647+1</f>
        <v>991</v>
      </c>
      <c r="G648" s="53">
        <f t="shared" ref="G648:G680" si="169">G647+E648</f>
        <v>991</v>
      </c>
      <c r="H648" s="14" t="s">
        <v>2390</v>
      </c>
      <c r="I648" s="97" t="str">
        <f t="shared" si="167"/>
        <v>MM28_3</v>
      </c>
    </row>
    <row r="649" spans="1:9" s="3" customFormat="1" ht="63.75" x14ac:dyDescent="0.25">
      <c r="A649" s="53" t="s">
        <v>824</v>
      </c>
      <c r="B649" s="96" t="str">
        <f>A649&amp;".When you use mobile money, which of the following do you use most frequently? "&amp;Other!R5</f>
        <v>MM28.4.When you use mobile money, which of the following do you use most frequently? Your own SIM but borrow a phone from friends or family</v>
      </c>
      <c r="C649" s="96" t="s">
        <v>142</v>
      </c>
      <c r="D649" s="54" t="s">
        <v>38</v>
      </c>
      <c r="E649" s="53">
        <v>1</v>
      </c>
      <c r="F649" s="53">
        <f t="shared" si="168"/>
        <v>992</v>
      </c>
      <c r="G649" s="53">
        <f t="shared" si="169"/>
        <v>992</v>
      </c>
      <c r="H649" s="14" t="s">
        <v>2390</v>
      </c>
      <c r="I649" s="97" t="str">
        <f t="shared" si="167"/>
        <v>MM28_4</v>
      </c>
    </row>
    <row r="650" spans="1:9" s="3" customFormat="1" ht="63.75" x14ac:dyDescent="0.25">
      <c r="A650" s="53" t="s">
        <v>825</v>
      </c>
      <c r="B650" s="96" t="str">
        <f>A650&amp;".When you use mobile money, which of the following do you use most frequently? "&amp;Other!R6</f>
        <v>MM28.5.When you use mobile money, which of the following do you use most frequently? Borrow both SIM and phone from an agent</v>
      </c>
      <c r="C650" s="96" t="s">
        <v>142</v>
      </c>
      <c r="D650" s="54" t="s">
        <v>38</v>
      </c>
      <c r="E650" s="53">
        <v>1</v>
      </c>
      <c r="F650" s="53">
        <f t="shared" si="168"/>
        <v>993</v>
      </c>
      <c r="G650" s="53">
        <f t="shared" si="169"/>
        <v>993</v>
      </c>
      <c r="H650" s="14" t="s">
        <v>2390</v>
      </c>
      <c r="I650" s="97" t="str">
        <f t="shared" si="167"/>
        <v>MM28_5</v>
      </c>
    </row>
    <row r="651" spans="1:9" s="3" customFormat="1" ht="63.75" x14ac:dyDescent="0.25">
      <c r="A651" s="53" t="s">
        <v>826</v>
      </c>
      <c r="B651" s="96" t="str">
        <f>A651&amp;".When you use mobile money, which of the following do you use most frequently? "&amp;Other!R7</f>
        <v>MM28.6.When you use mobile money, which of the following do you use most frequently? Borrow both SIM and phone from friends or family</v>
      </c>
      <c r="C651" s="96" t="s">
        <v>142</v>
      </c>
      <c r="D651" s="54" t="s">
        <v>38</v>
      </c>
      <c r="E651" s="53">
        <v>1</v>
      </c>
      <c r="F651" s="53">
        <f t="shared" si="168"/>
        <v>994</v>
      </c>
      <c r="G651" s="53">
        <f t="shared" si="169"/>
        <v>994</v>
      </c>
      <c r="H651" s="14" t="s">
        <v>2390</v>
      </c>
      <c r="I651" s="97" t="str">
        <f t="shared" si="167"/>
        <v>MM28_6</v>
      </c>
    </row>
    <row r="652" spans="1:9" s="3" customFormat="1" ht="63.75" x14ac:dyDescent="0.25">
      <c r="A652" s="53" t="s">
        <v>827</v>
      </c>
      <c r="B652" s="96" t="str">
        <f>A652&amp;".When you use mobile money, which of the following do you use most frequently? "&amp;Other!R8</f>
        <v>MM28.96.When you use mobile money, which of the following do you use most frequently? Other (Specify)</v>
      </c>
      <c r="C652" s="96" t="s">
        <v>142</v>
      </c>
      <c r="D652" s="54" t="s">
        <v>38</v>
      </c>
      <c r="E652" s="53">
        <v>1</v>
      </c>
      <c r="F652" s="53">
        <f t="shared" si="168"/>
        <v>995</v>
      </c>
      <c r="G652" s="53">
        <f t="shared" si="169"/>
        <v>995</v>
      </c>
      <c r="H652" s="14" t="s">
        <v>2390</v>
      </c>
      <c r="I652" s="97" t="str">
        <f>LEFT(A652,4)&amp;"_"&amp;RIGHT(A652,2)</f>
        <v>MM28_96</v>
      </c>
    </row>
    <row r="653" spans="1:9" ht="51" x14ac:dyDescent="0.25">
      <c r="A653" s="53" t="s">
        <v>828</v>
      </c>
      <c r="B653" s="90" t="s">
        <v>829</v>
      </c>
      <c r="C653" s="90" t="s">
        <v>830</v>
      </c>
      <c r="D653" s="53" t="s">
        <v>38</v>
      </c>
      <c r="E653" s="53">
        <v>1</v>
      </c>
      <c r="F653" s="53">
        <f t="shared" si="168"/>
        <v>996</v>
      </c>
      <c r="G653" s="53">
        <f t="shared" si="169"/>
        <v>996</v>
      </c>
      <c r="H653" s="14" t="s">
        <v>2391</v>
      </c>
      <c r="I653" s="94" t="str">
        <f>A653</f>
        <v>MM29</v>
      </c>
    </row>
    <row r="654" spans="1:9" ht="89.25" x14ac:dyDescent="0.25">
      <c r="A654" s="53" t="s">
        <v>831</v>
      </c>
      <c r="B654" s="96" t="s">
        <v>832</v>
      </c>
      <c r="C654" s="96" t="s">
        <v>833</v>
      </c>
      <c r="D654" s="53" t="s">
        <v>38</v>
      </c>
      <c r="E654" s="53">
        <v>2</v>
      </c>
      <c r="F654" s="53">
        <f t="shared" si="168"/>
        <v>997</v>
      </c>
      <c r="G654" s="53">
        <f t="shared" si="169"/>
        <v>998</v>
      </c>
      <c r="H654" s="14" t="s">
        <v>834</v>
      </c>
      <c r="I654" s="94" t="str">
        <f>A654</f>
        <v>MM30</v>
      </c>
    </row>
    <row r="655" spans="1:9" ht="63.75" x14ac:dyDescent="0.25">
      <c r="A655" s="54" t="s">
        <v>835</v>
      </c>
      <c r="B655" s="96" t="str">
        <f>A655&amp;".Have you ever done the following activities related to the use of mobile money services by yourself? "&amp;Other!S2</f>
        <v>MM31.1.Have you ever done the following activities related to the use of mobile money services by yourself? Open a mobile money menu</v>
      </c>
      <c r="C655" s="96" t="s">
        <v>442</v>
      </c>
      <c r="D655" s="53" t="s">
        <v>38</v>
      </c>
      <c r="E655" s="53">
        <v>2</v>
      </c>
      <c r="F655" s="53">
        <f t="shared" si="168"/>
        <v>999</v>
      </c>
      <c r="G655" s="53">
        <f t="shared" si="169"/>
        <v>1000</v>
      </c>
      <c r="H655" s="14" t="s">
        <v>2390</v>
      </c>
      <c r="I655" s="97" t="str">
        <f t="shared" ref="I655:I663" si="170">LEFT(A655,4)&amp;"_"&amp;RIGHT(A655,1)</f>
        <v>MM31_1</v>
      </c>
    </row>
    <row r="656" spans="1:9" ht="63.75" x14ac:dyDescent="0.25">
      <c r="A656" s="54" t="s">
        <v>836</v>
      </c>
      <c r="B656" s="96" t="str">
        <f>A656&amp;".Have you ever done the following activities related to the use of mobile money services by yourself? "&amp;Other!S3</f>
        <v>MM31.2.Have you ever done the following activities related to the use of mobile money services by yourself? Find a particular menu option (for example, an option for a money transfer)</v>
      </c>
      <c r="C656" s="96" t="s">
        <v>442</v>
      </c>
      <c r="D656" s="53" t="s">
        <v>38</v>
      </c>
      <c r="E656" s="53">
        <v>2</v>
      </c>
      <c r="F656" s="53">
        <f t="shared" si="168"/>
        <v>1001</v>
      </c>
      <c r="G656" s="53">
        <f t="shared" si="169"/>
        <v>1002</v>
      </c>
      <c r="H656" s="14" t="s">
        <v>2390</v>
      </c>
      <c r="I656" s="97" t="str">
        <f t="shared" si="170"/>
        <v>MM31_2</v>
      </c>
    </row>
    <row r="657" spans="1:9" ht="63.75" x14ac:dyDescent="0.25">
      <c r="A657" s="54" t="s">
        <v>837</v>
      </c>
      <c r="B657" s="96" t="str">
        <f>A657&amp;".Have you ever done the following activities related to the use of mobile money services by yourself? "&amp;Other!S4</f>
        <v>MM31.3.Have you ever done the following activities related to the use of mobile money services by yourself? Initiate a transaction</v>
      </c>
      <c r="C657" s="96" t="s">
        <v>442</v>
      </c>
      <c r="D657" s="53" t="s">
        <v>38</v>
      </c>
      <c r="E657" s="53">
        <v>2</v>
      </c>
      <c r="F657" s="53">
        <f t="shared" si="168"/>
        <v>1003</v>
      </c>
      <c r="G657" s="53">
        <f t="shared" si="169"/>
        <v>1004</v>
      </c>
      <c r="H657" s="14" t="s">
        <v>2390</v>
      </c>
      <c r="I657" s="97" t="str">
        <f t="shared" si="170"/>
        <v>MM31_3</v>
      </c>
    </row>
    <row r="658" spans="1:9" ht="63.75" x14ac:dyDescent="0.25">
      <c r="A658" s="54" t="s">
        <v>838</v>
      </c>
      <c r="B658" s="96" t="str">
        <f>A658&amp;".Have you ever done the following activities related to the use of mobile money services by yourself? "&amp;Other!S5</f>
        <v>MM31.4.Have you ever done the following activities related to the use of mobile money services by yourself? Complete a transaction</v>
      </c>
      <c r="C658" s="96" t="s">
        <v>442</v>
      </c>
      <c r="D658" s="53" t="s">
        <v>38</v>
      </c>
      <c r="E658" s="53">
        <v>2</v>
      </c>
      <c r="F658" s="53">
        <f t="shared" si="168"/>
        <v>1005</v>
      </c>
      <c r="G658" s="53">
        <f t="shared" si="169"/>
        <v>1006</v>
      </c>
      <c r="H658" s="14" t="s">
        <v>2390</v>
      </c>
      <c r="I658" s="97" t="str">
        <f t="shared" si="170"/>
        <v>MM31_4</v>
      </c>
    </row>
    <row r="659" spans="1:9" ht="63.75" x14ac:dyDescent="0.25">
      <c r="A659" s="54" t="s">
        <v>839</v>
      </c>
      <c r="B659" s="96" t="str">
        <f>A659&amp;".Have you ever done the following activities related to the use of mobile money services by yourself? "&amp;Other!S6</f>
        <v>MM31.5.Have you ever done the following activities related to the use of mobile money services by yourself? Go back to the main menu after a transaction</v>
      </c>
      <c r="C659" s="96" t="s">
        <v>442</v>
      </c>
      <c r="D659" s="53" t="s">
        <v>38</v>
      </c>
      <c r="E659" s="53">
        <v>2</v>
      </c>
      <c r="F659" s="53">
        <f t="shared" si="168"/>
        <v>1007</v>
      </c>
      <c r="G659" s="53">
        <f t="shared" si="169"/>
        <v>1008</v>
      </c>
      <c r="H659" s="14" t="s">
        <v>2390</v>
      </c>
      <c r="I659" s="97" t="str">
        <f t="shared" si="170"/>
        <v>MM31_5</v>
      </c>
    </row>
    <row r="660" spans="1:9" ht="63.75" x14ac:dyDescent="0.25">
      <c r="A660" s="54" t="s">
        <v>840</v>
      </c>
      <c r="B660" s="96" t="str">
        <f>A660&amp;".Have you ever done the following activities related to the use of mobile money services by yourself? "&amp;Other!S7</f>
        <v>MM31.6.Have you ever done the following activities related to the use of mobile money services by yourself? Correct an error in the amount or phone number for a transaction recipient</v>
      </c>
      <c r="C660" s="96" t="s">
        <v>442</v>
      </c>
      <c r="D660" s="53" t="s">
        <v>38</v>
      </c>
      <c r="E660" s="53">
        <v>2</v>
      </c>
      <c r="F660" s="53">
        <f t="shared" si="168"/>
        <v>1009</v>
      </c>
      <c r="G660" s="53">
        <f t="shared" si="169"/>
        <v>1010</v>
      </c>
      <c r="H660" s="14" t="s">
        <v>2390</v>
      </c>
      <c r="I660" s="97" t="str">
        <f t="shared" si="170"/>
        <v>MM31_6</v>
      </c>
    </row>
    <row r="661" spans="1:9" ht="63.75" x14ac:dyDescent="0.25">
      <c r="A661" s="54" t="s">
        <v>841</v>
      </c>
      <c r="B661" s="96" t="str">
        <f>A661&amp;".Have you ever done the following activities related to the use of mobile money services by yourself? "&amp;Other!S8</f>
        <v>MM31.7.Have you ever done the following activities related to the use of mobile money services by yourself? Reverse or cancel a transaction</v>
      </c>
      <c r="C661" s="96" t="s">
        <v>442</v>
      </c>
      <c r="D661" s="53" t="s">
        <v>38</v>
      </c>
      <c r="E661" s="53">
        <v>2</v>
      </c>
      <c r="F661" s="53">
        <f t="shared" si="168"/>
        <v>1011</v>
      </c>
      <c r="G661" s="53">
        <f t="shared" si="169"/>
        <v>1012</v>
      </c>
      <c r="H661" s="14" t="s">
        <v>2390</v>
      </c>
      <c r="I661" s="97" t="str">
        <f t="shared" si="170"/>
        <v>MM31_7</v>
      </c>
    </row>
    <row r="662" spans="1:9" ht="63.75" x14ac:dyDescent="0.25">
      <c r="A662" s="54" t="s">
        <v>842</v>
      </c>
      <c r="B662" s="96" t="str">
        <f>A662&amp;".Have you ever done the following activities related to the use of mobile money services by yourself? "&amp;Other!S9</f>
        <v>MM31.8.Have you ever done the following activities related to the use of mobile money services by yourself? Send money</v>
      </c>
      <c r="C662" s="96" t="s">
        <v>442</v>
      </c>
      <c r="D662" s="53" t="s">
        <v>38</v>
      </c>
      <c r="E662" s="53">
        <v>2</v>
      </c>
      <c r="F662" s="53">
        <f t="shared" si="168"/>
        <v>1013</v>
      </c>
      <c r="G662" s="53">
        <f t="shared" si="169"/>
        <v>1014</v>
      </c>
      <c r="H662" s="14" t="s">
        <v>2390</v>
      </c>
      <c r="I662" s="97" t="str">
        <f t="shared" si="170"/>
        <v>MM31_8</v>
      </c>
    </row>
    <row r="663" spans="1:9" ht="63.75" x14ac:dyDescent="0.25">
      <c r="A663" s="54" t="s">
        <v>843</v>
      </c>
      <c r="B663" s="96" t="str">
        <f>A663&amp;".Have you ever done the following activities related to the use of mobile money services by yourself? "&amp;Other!S10</f>
        <v>MM31.9.Have you ever done the following activities related to the use of mobile money services by yourself? Receive money</v>
      </c>
      <c r="C663" s="96" t="s">
        <v>442</v>
      </c>
      <c r="D663" s="53" t="s">
        <v>38</v>
      </c>
      <c r="E663" s="53">
        <v>2</v>
      </c>
      <c r="F663" s="53">
        <f t="shared" si="168"/>
        <v>1015</v>
      </c>
      <c r="G663" s="53">
        <f t="shared" si="169"/>
        <v>1016</v>
      </c>
      <c r="H663" s="14" t="s">
        <v>2390</v>
      </c>
      <c r="I663" s="97" t="str">
        <f t="shared" si="170"/>
        <v>MM31_9</v>
      </c>
    </row>
    <row r="664" spans="1:9" ht="63.75" x14ac:dyDescent="0.25">
      <c r="A664" s="54" t="s">
        <v>844</v>
      </c>
      <c r="B664" s="96" t="str">
        <f>A664&amp;".Have you ever done the following activities related to the use of mobile money services by yourself? "&amp;Other!S11</f>
        <v>MM31.10.Have you ever done the following activities related to the use of mobile money services by yourself? Deposit money</v>
      </c>
      <c r="C664" s="96" t="s">
        <v>442</v>
      </c>
      <c r="D664" s="53" t="s">
        <v>38</v>
      </c>
      <c r="E664" s="53">
        <v>2</v>
      </c>
      <c r="F664" s="53">
        <f t="shared" si="168"/>
        <v>1017</v>
      </c>
      <c r="G664" s="53">
        <f t="shared" si="169"/>
        <v>1018</v>
      </c>
      <c r="H664" s="14" t="s">
        <v>2390</v>
      </c>
      <c r="I664" s="97" t="str">
        <f>LEFT(A664,4)&amp;"_"&amp;RIGHT(A664,2)</f>
        <v>MM31_10</v>
      </c>
    </row>
    <row r="665" spans="1:9" ht="63.75" x14ac:dyDescent="0.25">
      <c r="A665" s="54" t="s">
        <v>845</v>
      </c>
      <c r="B665" s="96" t="str">
        <f>A665&amp;".Have you ever done the following activities related to the use of mobile money services by yourself? "&amp;Other!S12</f>
        <v>MM31.11.Have you ever done the following activities related to the use of mobile money services by yourself? Withdraw money</v>
      </c>
      <c r="C665" s="96" t="s">
        <v>442</v>
      </c>
      <c r="D665" s="53" t="s">
        <v>38</v>
      </c>
      <c r="E665" s="53">
        <v>2</v>
      </c>
      <c r="F665" s="53">
        <f t="shared" si="168"/>
        <v>1019</v>
      </c>
      <c r="G665" s="53">
        <f t="shared" si="169"/>
        <v>1020</v>
      </c>
      <c r="H665" s="14" t="s">
        <v>2390</v>
      </c>
      <c r="I665" s="97" t="str">
        <f>LEFT(A665,4)&amp;"_"&amp;RIGHT(A665,2)</f>
        <v>MM31_11</v>
      </c>
    </row>
    <row r="666" spans="1:9" ht="63.75" x14ac:dyDescent="0.25">
      <c r="A666" s="54" t="s">
        <v>846</v>
      </c>
      <c r="B666" s="96" t="str">
        <f>A666&amp;".Have you ever done the following activities related to the use of mobile money services by yourself? "&amp;Other!S13</f>
        <v>MM31.12.Have you ever done the following activities related to the use of mobile money services by yourself? Buy airtime</v>
      </c>
      <c r="C666" s="96" t="s">
        <v>442</v>
      </c>
      <c r="D666" s="53" t="s">
        <v>38</v>
      </c>
      <c r="E666" s="53">
        <v>2</v>
      </c>
      <c r="F666" s="53">
        <f t="shared" si="168"/>
        <v>1021</v>
      </c>
      <c r="G666" s="53">
        <f t="shared" si="169"/>
        <v>1022</v>
      </c>
      <c r="H666" s="14" t="s">
        <v>2390</v>
      </c>
      <c r="I666" s="97" t="str">
        <f>LEFT(A666,4)&amp;"_"&amp;RIGHT(A666,2)</f>
        <v>MM31_12</v>
      </c>
    </row>
    <row r="667" spans="1:9" ht="63.75" x14ac:dyDescent="0.25">
      <c r="A667" s="54" t="s">
        <v>847</v>
      </c>
      <c r="B667" s="96" t="str">
        <f>A667&amp;".Have you ever done the following activities related to the use of mobile money services by yourself? "&amp;Other!S14</f>
        <v>MM31.13.Have you ever done the following activities related to the use of mobile money services by yourself? Check balance</v>
      </c>
      <c r="C667" s="96" t="s">
        <v>442</v>
      </c>
      <c r="D667" s="53" t="s">
        <v>38</v>
      </c>
      <c r="E667" s="53">
        <v>2</v>
      </c>
      <c r="F667" s="53">
        <f t="shared" si="168"/>
        <v>1023</v>
      </c>
      <c r="G667" s="53">
        <f t="shared" si="169"/>
        <v>1024</v>
      </c>
      <c r="H667" s="14" t="s">
        <v>2390</v>
      </c>
      <c r="I667" s="97" t="str">
        <f>LEFT(A667,4)&amp;"_"&amp;RIGHT(A667,2)</f>
        <v>MM31_13</v>
      </c>
    </row>
    <row r="668" spans="1:9" ht="63.75" x14ac:dyDescent="0.25">
      <c r="A668" s="54" t="s">
        <v>848</v>
      </c>
      <c r="B668" s="96" t="str">
        <f>A668&amp;".On a scale from 1 (very easy) to 4 (very difficult), how easy or difficult is it for you to do the following activities related to the use of mobile money services on your own? "&amp;Other!S2</f>
        <v>MM32.1.On a scale from 1 (very easy) to 4 (very difficult), how easy or difficult is it for you to do the following activities related to the use of mobile money services on your own? Open a mobile money menu</v>
      </c>
      <c r="C668" s="96" t="s">
        <v>849</v>
      </c>
      <c r="D668" s="53" t="s">
        <v>38</v>
      </c>
      <c r="E668" s="53">
        <v>2</v>
      </c>
      <c r="F668" s="53">
        <f t="shared" si="168"/>
        <v>1025</v>
      </c>
      <c r="G668" s="53">
        <f t="shared" si="169"/>
        <v>1026</v>
      </c>
      <c r="H668" s="14" t="s">
        <v>2390</v>
      </c>
      <c r="I668" s="97" t="str">
        <f t="shared" ref="I668:I676" si="171">LEFT(A668,4)&amp;"_"&amp;RIGHT(A668,1)</f>
        <v>MM32_1</v>
      </c>
    </row>
    <row r="669" spans="1:9" ht="63.75" x14ac:dyDescent="0.25">
      <c r="A669" s="54" t="s">
        <v>850</v>
      </c>
      <c r="B669" s="96" t="str">
        <f>A669&amp;".On a scale from 1 (very easy) to 4 (very difficult), how easy or difficult is it for you to do the following activities related to the use of mobile money services on your own? "&amp;Other!S3</f>
        <v>MM32.2.On a scale from 1 (very easy) to 4 (very difficult), how easy or difficult is it for you to do the following activities related to the use of mobile money services on your own? Find a particular menu option (for example, an option for a money transfer)</v>
      </c>
      <c r="C669" s="96" t="s">
        <v>849</v>
      </c>
      <c r="D669" s="53" t="s">
        <v>38</v>
      </c>
      <c r="E669" s="53">
        <v>2</v>
      </c>
      <c r="F669" s="53">
        <f t="shared" si="168"/>
        <v>1027</v>
      </c>
      <c r="G669" s="53">
        <f t="shared" si="169"/>
        <v>1028</v>
      </c>
      <c r="H669" s="14" t="s">
        <v>2390</v>
      </c>
      <c r="I669" s="97" t="str">
        <f t="shared" si="171"/>
        <v>MM32_2</v>
      </c>
    </row>
    <row r="670" spans="1:9" ht="63.75" x14ac:dyDescent="0.25">
      <c r="A670" s="54" t="s">
        <v>851</v>
      </c>
      <c r="B670" s="96" t="str">
        <f>A670&amp;".On a scale from 1 (very easy) to 4 (very difficult), how easy or difficult is it for you to do the following activities related to the use of mobile money services on your own? "&amp;Other!S4</f>
        <v>MM32.3.On a scale from 1 (very easy) to 4 (very difficult), how easy or difficult is it for you to do the following activities related to the use of mobile money services on your own? Initiate a transaction</v>
      </c>
      <c r="C670" s="96" t="s">
        <v>849</v>
      </c>
      <c r="D670" s="53" t="s">
        <v>38</v>
      </c>
      <c r="E670" s="53">
        <v>2</v>
      </c>
      <c r="F670" s="53">
        <f t="shared" si="168"/>
        <v>1029</v>
      </c>
      <c r="G670" s="53">
        <f t="shared" si="169"/>
        <v>1030</v>
      </c>
      <c r="H670" s="14" t="s">
        <v>2390</v>
      </c>
      <c r="I670" s="97" t="str">
        <f t="shared" si="171"/>
        <v>MM32_3</v>
      </c>
    </row>
    <row r="671" spans="1:9" ht="63.75" x14ac:dyDescent="0.25">
      <c r="A671" s="54" t="s">
        <v>852</v>
      </c>
      <c r="B671" s="96" t="str">
        <f>A671&amp;".On a scale from 1 (very easy) to 4 (very difficult), how easy or difficult is it for you to do the following activities related to the use of mobile money services on your own? "&amp;Other!S5</f>
        <v>MM32.4.On a scale from 1 (very easy) to 4 (very difficult), how easy or difficult is it for you to do the following activities related to the use of mobile money services on your own? Complete a transaction</v>
      </c>
      <c r="C671" s="96" t="s">
        <v>849</v>
      </c>
      <c r="D671" s="53" t="s">
        <v>38</v>
      </c>
      <c r="E671" s="53">
        <v>2</v>
      </c>
      <c r="F671" s="53">
        <f t="shared" si="168"/>
        <v>1031</v>
      </c>
      <c r="G671" s="53">
        <f t="shared" si="169"/>
        <v>1032</v>
      </c>
      <c r="H671" s="14" t="s">
        <v>2390</v>
      </c>
      <c r="I671" s="97" t="str">
        <f t="shared" si="171"/>
        <v>MM32_4</v>
      </c>
    </row>
    <row r="672" spans="1:9" ht="63.75" x14ac:dyDescent="0.25">
      <c r="A672" s="54" t="s">
        <v>853</v>
      </c>
      <c r="B672" s="96" t="str">
        <f>A672&amp;".On a scale from 1 (very easy) to 4 (very difficult), how easy or difficult is it for you to do the following activities related to the use of mobile money services on your own? "&amp;Other!S6</f>
        <v>MM32.5.On a scale from 1 (very easy) to 4 (very difficult), how easy or difficult is it for you to do the following activities related to the use of mobile money services on your own? Go back to the main menu after a transaction</v>
      </c>
      <c r="C672" s="96" t="s">
        <v>849</v>
      </c>
      <c r="D672" s="53" t="s">
        <v>38</v>
      </c>
      <c r="E672" s="53">
        <v>2</v>
      </c>
      <c r="F672" s="53">
        <f t="shared" si="168"/>
        <v>1033</v>
      </c>
      <c r="G672" s="53">
        <f t="shared" si="169"/>
        <v>1034</v>
      </c>
      <c r="H672" s="14" t="s">
        <v>2390</v>
      </c>
      <c r="I672" s="97" t="str">
        <f t="shared" si="171"/>
        <v>MM32_5</v>
      </c>
    </row>
    <row r="673" spans="1:9" ht="63.75" x14ac:dyDescent="0.25">
      <c r="A673" s="54" t="s">
        <v>854</v>
      </c>
      <c r="B673" s="96" t="str">
        <f>A673&amp;".On a scale from 1 (very easy) to 4 (very difficult), how easy or difficult is it for you to do the following activities related to the use of mobile money services on your own? "&amp;Other!S7</f>
        <v>MM32.6.On a scale from 1 (very easy) to 4 (very difficult), how easy or difficult is it for you to do the following activities related to the use of mobile money services on your own? Correct an error in the amount or phone number for a transaction recipient</v>
      </c>
      <c r="C673" s="96" t="s">
        <v>849</v>
      </c>
      <c r="D673" s="53" t="s">
        <v>38</v>
      </c>
      <c r="E673" s="53">
        <v>2</v>
      </c>
      <c r="F673" s="53">
        <f t="shared" si="168"/>
        <v>1035</v>
      </c>
      <c r="G673" s="53">
        <f t="shared" si="169"/>
        <v>1036</v>
      </c>
      <c r="H673" s="14" t="s">
        <v>2390</v>
      </c>
      <c r="I673" s="97" t="str">
        <f t="shared" si="171"/>
        <v>MM32_6</v>
      </c>
    </row>
    <row r="674" spans="1:9" ht="63.75" x14ac:dyDescent="0.25">
      <c r="A674" s="54" t="s">
        <v>855</v>
      </c>
      <c r="B674" s="96" t="str">
        <f>A674&amp;".On a scale from 1 (very easy) to 4 (very difficult), how easy or difficult is it for you to do the following activities related to the use of mobile money services on your own? "&amp;Other!S8</f>
        <v>MM32.7.On a scale from 1 (very easy) to 4 (very difficult), how easy or difficult is it for you to do the following activities related to the use of mobile money services on your own? Reverse or cancel a transaction</v>
      </c>
      <c r="C674" s="96" t="s">
        <v>849</v>
      </c>
      <c r="D674" s="53" t="s">
        <v>38</v>
      </c>
      <c r="E674" s="53">
        <v>2</v>
      </c>
      <c r="F674" s="53">
        <f t="shared" si="168"/>
        <v>1037</v>
      </c>
      <c r="G674" s="53">
        <f t="shared" si="169"/>
        <v>1038</v>
      </c>
      <c r="H674" s="14" t="s">
        <v>2390</v>
      </c>
      <c r="I674" s="97" t="str">
        <f t="shared" si="171"/>
        <v>MM32_7</v>
      </c>
    </row>
    <row r="675" spans="1:9" ht="63.75" x14ac:dyDescent="0.25">
      <c r="A675" s="54" t="s">
        <v>856</v>
      </c>
      <c r="B675" s="96" t="str">
        <f>A675&amp;".On a scale from 1 (very easy) to 4 (very difficult), how easy or difficult is it for you to do the following activities related to the use of mobile money services on your own? "&amp;Other!S9</f>
        <v>MM32.8.On a scale from 1 (very easy) to 4 (very difficult), how easy or difficult is it for you to do the following activities related to the use of mobile money services on your own? Send money</v>
      </c>
      <c r="C675" s="96" t="s">
        <v>849</v>
      </c>
      <c r="D675" s="53" t="s">
        <v>38</v>
      </c>
      <c r="E675" s="53">
        <v>2</v>
      </c>
      <c r="F675" s="53">
        <f t="shared" si="168"/>
        <v>1039</v>
      </c>
      <c r="G675" s="53">
        <f t="shared" si="169"/>
        <v>1040</v>
      </c>
      <c r="H675" s="14" t="s">
        <v>2390</v>
      </c>
      <c r="I675" s="97" t="str">
        <f t="shared" si="171"/>
        <v>MM32_8</v>
      </c>
    </row>
    <row r="676" spans="1:9" ht="63.75" x14ac:dyDescent="0.25">
      <c r="A676" s="54" t="s">
        <v>857</v>
      </c>
      <c r="B676" s="96" t="str">
        <f>A676&amp;".On a scale from 1 (very easy) to 4 (very difficult), how easy or difficult is it for you to do the following activities related to the use of mobile money services on your own? "&amp;Other!S10</f>
        <v>MM32.9.On a scale from 1 (very easy) to 4 (very difficult), how easy or difficult is it for you to do the following activities related to the use of mobile money services on your own? Receive money</v>
      </c>
      <c r="C676" s="96" t="s">
        <v>849</v>
      </c>
      <c r="D676" s="53" t="s">
        <v>38</v>
      </c>
      <c r="E676" s="53">
        <v>2</v>
      </c>
      <c r="F676" s="53">
        <f t="shared" si="168"/>
        <v>1041</v>
      </c>
      <c r="G676" s="53">
        <f t="shared" si="169"/>
        <v>1042</v>
      </c>
      <c r="H676" s="14" t="s">
        <v>2390</v>
      </c>
      <c r="I676" s="97" t="str">
        <f t="shared" si="171"/>
        <v>MM32_9</v>
      </c>
    </row>
    <row r="677" spans="1:9" ht="63.75" x14ac:dyDescent="0.25">
      <c r="A677" s="54" t="s">
        <v>858</v>
      </c>
      <c r="B677" s="96" t="str">
        <f>A677&amp;".On a scale from 1 (very easy) to 4 (very difficult), how easy or difficult is it for you to do the following activities related to the use of mobile money services on your own? "&amp;Other!S11</f>
        <v>MM32.10.On a scale from 1 (very easy) to 4 (very difficult), how easy or difficult is it for you to do the following activities related to the use of mobile money services on your own? Deposit money</v>
      </c>
      <c r="C677" s="96" t="s">
        <v>849</v>
      </c>
      <c r="D677" s="53" t="s">
        <v>38</v>
      </c>
      <c r="E677" s="53">
        <v>2</v>
      </c>
      <c r="F677" s="53">
        <f t="shared" si="168"/>
        <v>1043</v>
      </c>
      <c r="G677" s="53">
        <f t="shared" si="169"/>
        <v>1044</v>
      </c>
      <c r="H677" s="14" t="s">
        <v>2390</v>
      </c>
      <c r="I677" s="97" t="str">
        <f>LEFT(A677,4)&amp;"_"&amp;RIGHT(A677,2)</f>
        <v>MM32_10</v>
      </c>
    </row>
    <row r="678" spans="1:9" ht="63.75" x14ac:dyDescent="0.25">
      <c r="A678" s="54" t="s">
        <v>859</v>
      </c>
      <c r="B678" s="96" t="str">
        <f>A678&amp;".On a scale from 1 (very easy) to 4 (very difficult), how easy or difficult is it for you to do the following activities related to the use of mobile money services on your own? "&amp;Other!S12</f>
        <v>MM32.11.On a scale from 1 (very easy) to 4 (very difficult), how easy or difficult is it for you to do the following activities related to the use of mobile money services on your own? Withdraw money</v>
      </c>
      <c r="C678" s="96" t="s">
        <v>849</v>
      </c>
      <c r="D678" s="53" t="s">
        <v>38</v>
      </c>
      <c r="E678" s="53">
        <v>2</v>
      </c>
      <c r="F678" s="53">
        <f t="shared" si="168"/>
        <v>1045</v>
      </c>
      <c r="G678" s="53">
        <f t="shared" si="169"/>
        <v>1046</v>
      </c>
      <c r="H678" s="14" t="s">
        <v>2390</v>
      </c>
      <c r="I678" s="97" t="str">
        <f>LEFT(A678,4)&amp;"_"&amp;RIGHT(A678,2)</f>
        <v>MM32_11</v>
      </c>
    </row>
    <row r="679" spans="1:9" ht="63.75" x14ac:dyDescent="0.25">
      <c r="A679" s="54" t="s">
        <v>860</v>
      </c>
      <c r="B679" s="96" t="str">
        <f>A679&amp;".On a scale from 1 (very easy) to 4 (very difficult), how easy or difficult is it for you to do the following activities related to the use of mobile money services on your own? "&amp;Other!S13</f>
        <v>MM32.12.On a scale from 1 (very easy) to 4 (very difficult), how easy or difficult is it for you to do the following activities related to the use of mobile money services on your own? Buy airtime</v>
      </c>
      <c r="C679" s="96" t="s">
        <v>849</v>
      </c>
      <c r="D679" s="53" t="s">
        <v>38</v>
      </c>
      <c r="E679" s="53">
        <v>2</v>
      </c>
      <c r="F679" s="53">
        <f t="shared" si="168"/>
        <v>1047</v>
      </c>
      <c r="G679" s="53">
        <f t="shared" si="169"/>
        <v>1048</v>
      </c>
      <c r="H679" s="14" t="s">
        <v>2390</v>
      </c>
      <c r="I679" s="97" t="str">
        <f>LEFT(A679,4)&amp;"_"&amp;RIGHT(A679,2)</f>
        <v>MM32_12</v>
      </c>
    </row>
    <row r="680" spans="1:9" ht="63.75" x14ac:dyDescent="0.25">
      <c r="A680" s="54" t="s">
        <v>861</v>
      </c>
      <c r="B680" s="96" t="str">
        <f>A680&amp;".On a scale from 1 (very easy) to 4 (very difficult), how easy or difficult is it for you to do the following activities related to the use of mobile money services on your own? "&amp;Other!S14</f>
        <v>MM32.13.On a scale from 1 (very easy) to 4 (very difficult), how easy or difficult is it for you to do the following activities related to the use of mobile money services on your own? Check balance</v>
      </c>
      <c r="C680" s="96" t="s">
        <v>849</v>
      </c>
      <c r="D680" s="53" t="s">
        <v>38</v>
      </c>
      <c r="E680" s="53">
        <v>2</v>
      </c>
      <c r="F680" s="53">
        <f t="shared" si="168"/>
        <v>1049</v>
      </c>
      <c r="G680" s="53">
        <f t="shared" si="169"/>
        <v>1050</v>
      </c>
      <c r="H680" s="14" t="s">
        <v>2390</v>
      </c>
      <c r="I680" s="97" t="str">
        <f>LEFT(A680,4)&amp;"_"&amp;RIGHT(A680,2)</f>
        <v>MM32_13</v>
      </c>
    </row>
    <row r="681" spans="1:9" x14ac:dyDescent="0.25">
      <c r="A681" s="121" t="s">
        <v>862</v>
      </c>
      <c r="B681" s="122" t="s">
        <v>379</v>
      </c>
      <c r="C681" s="122" t="s">
        <v>379</v>
      </c>
      <c r="D681" s="122" t="s">
        <v>379</v>
      </c>
      <c r="E681" s="122" t="s">
        <v>379</v>
      </c>
      <c r="F681" s="122" t="s">
        <v>379</v>
      </c>
      <c r="G681" s="122" t="s">
        <v>379</v>
      </c>
      <c r="H681" s="122" t="s">
        <v>379</v>
      </c>
      <c r="I681" s="123" t="s">
        <v>379</v>
      </c>
    </row>
    <row r="682" spans="1:9" x14ac:dyDescent="0.25">
      <c r="A682" s="51" t="s">
        <v>4</v>
      </c>
      <c r="B682" s="52" t="s">
        <v>5</v>
      </c>
      <c r="C682" s="52" t="s">
        <v>6</v>
      </c>
      <c r="D682" s="51" t="s">
        <v>7</v>
      </c>
      <c r="E682" s="52" t="s">
        <v>8</v>
      </c>
      <c r="F682" s="52" t="s">
        <v>9</v>
      </c>
      <c r="G682" s="52" t="s">
        <v>10</v>
      </c>
      <c r="H682" s="52" t="s">
        <v>11</v>
      </c>
      <c r="I682" s="51" t="s">
        <v>12</v>
      </c>
    </row>
    <row r="683" spans="1:9" ht="63.75" x14ac:dyDescent="0.25">
      <c r="A683" s="54" t="s">
        <v>863</v>
      </c>
      <c r="B683" s="96" t="str">
        <f>A683&amp;".Do you tend to use the same mobile money agent all or most of the time?"</f>
        <v>MM33.Do you tend to use the same mobile money agent all or most of the time?</v>
      </c>
      <c r="C683" s="96" t="s">
        <v>864</v>
      </c>
      <c r="D683" s="54" t="s">
        <v>38</v>
      </c>
      <c r="E683" s="53">
        <v>1</v>
      </c>
      <c r="F683" s="53">
        <f>G680+1</f>
        <v>1051</v>
      </c>
      <c r="G683" s="53">
        <f>G680+E683</f>
        <v>1051</v>
      </c>
      <c r="H683" s="14" t="s">
        <v>2390</v>
      </c>
      <c r="I683" s="97" t="str">
        <f>LEFT(A683,4)</f>
        <v>MM33</v>
      </c>
    </row>
    <row r="684" spans="1:9" x14ac:dyDescent="0.25">
      <c r="A684" s="54" t="s">
        <v>865</v>
      </c>
      <c r="B684" s="96" t="str">
        <f>A684&amp;".What is the main reason you are using this agent regularly? "</f>
        <v xml:space="preserve">MM34.What is the main reason you are using this agent regularly? </v>
      </c>
      <c r="C684" s="98" t="s">
        <v>866</v>
      </c>
      <c r="D684" s="54" t="s">
        <v>38</v>
      </c>
      <c r="E684" s="53">
        <v>2</v>
      </c>
      <c r="F684" s="53">
        <f>G683+1</f>
        <v>1052</v>
      </c>
      <c r="G684" s="53">
        <f>G683+E684</f>
        <v>1053</v>
      </c>
      <c r="H684" s="55" t="s">
        <v>867</v>
      </c>
      <c r="I684" s="97" t="str">
        <f>LEFT(A684,4)</f>
        <v>MM34</v>
      </c>
    </row>
    <row r="685" spans="1:9" ht="25.5" x14ac:dyDescent="0.25">
      <c r="A685" s="54" t="s">
        <v>868</v>
      </c>
      <c r="B685" s="96" t="str">
        <f>A685&amp;".Is your regular agent a male or a female?"</f>
        <v>MM35.Is your regular agent a male or a female?</v>
      </c>
      <c r="C685" s="96" t="s">
        <v>77</v>
      </c>
      <c r="D685" s="54" t="s">
        <v>38</v>
      </c>
      <c r="E685" s="53">
        <v>1</v>
      </c>
      <c r="F685" s="53">
        <f t="shared" ref="F685:F748" si="172">G684+1</f>
        <v>1054</v>
      </c>
      <c r="G685" s="53">
        <f t="shared" ref="G685:G748" si="173">G684+E685</f>
        <v>1054</v>
      </c>
      <c r="H685" s="55" t="s">
        <v>867</v>
      </c>
      <c r="I685" s="97" t="str">
        <f>LEFT(A685,4)</f>
        <v>MM35</v>
      </c>
    </row>
    <row r="686" spans="1:9" ht="63.75" x14ac:dyDescent="0.25">
      <c r="A686" s="54" t="s">
        <v>869</v>
      </c>
      <c r="B686" s="90" t="str">
        <f>A686&amp;" Which of the following mobile money agents are the closest to where you live? Regardless of what service you use.  " &amp;'brand name'!C2</f>
        <v>MM36.1 Which of the following mobile money agents are the closest to where you live? Regardless of what service you use.  BBM Money</v>
      </c>
      <c r="C686" s="96" t="s">
        <v>142</v>
      </c>
      <c r="D686" s="54" t="s">
        <v>38</v>
      </c>
      <c r="E686" s="53">
        <v>1</v>
      </c>
      <c r="F686" s="53">
        <f t="shared" si="172"/>
        <v>1055</v>
      </c>
      <c r="G686" s="53">
        <f t="shared" si="173"/>
        <v>1055</v>
      </c>
      <c r="H686" s="14" t="s">
        <v>2390</v>
      </c>
      <c r="I686" s="97" t="str">
        <f t="shared" ref="I686:I692" si="174">LEFT(A686,4)&amp;"_"&amp;RIGHT(A686,1)</f>
        <v>MM36_1</v>
      </c>
    </row>
    <row r="687" spans="1:9" ht="63.75" x14ac:dyDescent="0.25">
      <c r="A687" s="54" t="s">
        <v>870</v>
      </c>
      <c r="B687" s="90" t="str">
        <f>A687&amp;" Which of the following mobile money agents are the closest to where you live? Regardless of what service you use.  " &amp;'brand name'!C3</f>
        <v>MM36.2 Which of the following mobile money agents are the closest to where you live? Regardless of what service you use.  Dompetku</v>
      </c>
      <c r="C687" s="96" t="s">
        <v>142</v>
      </c>
      <c r="D687" s="54" t="s">
        <v>38</v>
      </c>
      <c r="E687" s="53">
        <v>1</v>
      </c>
      <c r="F687" s="53">
        <f t="shared" si="172"/>
        <v>1056</v>
      </c>
      <c r="G687" s="53">
        <f t="shared" si="173"/>
        <v>1056</v>
      </c>
      <c r="H687" s="14" t="s">
        <v>2390</v>
      </c>
      <c r="I687" s="97" t="str">
        <f t="shared" si="174"/>
        <v>MM36_2</v>
      </c>
    </row>
    <row r="688" spans="1:9" ht="63.75" x14ac:dyDescent="0.25">
      <c r="A688" s="54" t="s">
        <v>871</v>
      </c>
      <c r="B688" s="90" t="str">
        <f>A688&amp;" Which of the following mobile money agents are the closest to where you live? Regardless of what service you use.  " &amp;'brand name'!C4</f>
        <v>MM36.3 Which of the following mobile money agents are the closest to where you live? Regardless of what service you use.  E-Cash</v>
      </c>
      <c r="C688" s="96" t="s">
        <v>142</v>
      </c>
      <c r="D688" s="54" t="s">
        <v>38</v>
      </c>
      <c r="E688" s="53">
        <v>1</v>
      </c>
      <c r="F688" s="53">
        <f t="shared" si="172"/>
        <v>1057</v>
      </c>
      <c r="G688" s="53">
        <f t="shared" si="173"/>
        <v>1057</v>
      </c>
      <c r="H688" s="14" t="s">
        <v>2390</v>
      </c>
      <c r="I688" s="97" t="str">
        <f t="shared" si="174"/>
        <v>MM36_3</v>
      </c>
    </row>
    <row r="689" spans="1:9" ht="63.75" x14ac:dyDescent="0.25">
      <c r="A689" s="54" t="s">
        <v>872</v>
      </c>
      <c r="B689" s="90" t="str">
        <f>A689&amp;" Which of the following mobile money agents are the closest to where you live? Regardless of what service you use.  " &amp;'brand name'!C5</f>
        <v>MM36.4 Which of the following mobile money agents are the closest to where you live? Regardless of what service you use.  MoCash</v>
      </c>
      <c r="C689" s="96" t="s">
        <v>142</v>
      </c>
      <c r="D689" s="54" t="s">
        <v>38</v>
      </c>
      <c r="E689" s="53">
        <v>1</v>
      </c>
      <c r="F689" s="53">
        <f t="shared" si="172"/>
        <v>1058</v>
      </c>
      <c r="G689" s="53">
        <f t="shared" si="173"/>
        <v>1058</v>
      </c>
      <c r="H689" s="14" t="s">
        <v>2390</v>
      </c>
      <c r="I689" s="97" t="str">
        <f t="shared" si="174"/>
        <v>MM36_4</v>
      </c>
    </row>
    <row r="690" spans="1:9" ht="63.75" x14ac:dyDescent="0.25">
      <c r="A690" s="54" t="s">
        <v>873</v>
      </c>
      <c r="B690" s="90" t="str">
        <f>A690&amp;" Which of the following mobile money agents are the closest to where you live? Regardless of what service you use.  " &amp;'brand name'!C6</f>
        <v>MM36.5 Which of the following mobile money agents are the closest to where you live? Regardless of what service you use.  Rekening Ponsel</v>
      </c>
      <c r="C690" s="96" t="s">
        <v>142</v>
      </c>
      <c r="D690" s="54" t="s">
        <v>38</v>
      </c>
      <c r="E690" s="53">
        <v>1</v>
      </c>
      <c r="F690" s="53">
        <f t="shared" si="172"/>
        <v>1059</v>
      </c>
      <c r="G690" s="53">
        <f t="shared" si="173"/>
        <v>1059</v>
      </c>
      <c r="H690" s="14" t="s">
        <v>2390</v>
      </c>
      <c r="I690" s="97" t="str">
        <f t="shared" si="174"/>
        <v>MM36_5</v>
      </c>
    </row>
    <row r="691" spans="1:9" ht="63.75" x14ac:dyDescent="0.25">
      <c r="A691" s="54" t="s">
        <v>874</v>
      </c>
      <c r="B691" s="90" t="str">
        <f>A691&amp;" Which of the following mobile money agents are the closest to where you live? Regardless of what service you use.  " &amp;'brand name'!C7</f>
        <v>MM36.6 Which of the following mobile money agents are the closest to where you live? Regardless of what service you use.  Skye</v>
      </c>
      <c r="C691" s="96" t="s">
        <v>142</v>
      </c>
      <c r="D691" s="54" t="s">
        <v>38</v>
      </c>
      <c r="E691" s="53">
        <v>1</v>
      </c>
      <c r="F691" s="53">
        <f t="shared" ref="F691:F696" si="175">G690+1</f>
        <v>1060</v>
      </c>
      <c r="G691" s="53">
        <f t="shared" ref="G691:G696" si="176">G690+E691</f>
        <v>1060</v>
      </c>
      <c r="H691" s="14" t="s">
        <v>2390</v>
      </c>
      <c r="I691" s="97" t="str">
        <f t="shared" si="174"/>
        <v>MM36_6</v>
      </c>
    </row>
    <row r="692" spans="1:9" ht="63.75" x14ac:dyDescent="0.25">
      <c r="A692" s="54" t="s">
        <v>875</v>
      </c>
      <c r="B692" s="90" t="str">
        <f>A692&amp;" Which of the following mobile money agents are the closest to where you live? Regardless of what service you use.  " &amp;'brand name'!C8</f>
        <v>MM36.7 Which of the following mobile money agents are the closest to where you live? Regardless of what service you use.  T-Cash</v>
      </c>
      <c r="C692" s="96" t="s">
        <v>142</v>
      </c>
      <c r="D692" s="54" t="s">
        <v>38</v>
      </c>
      <c r="E692" s="53">
        <v>1</v>
      </c>
      <c r="F692" s="53">
        <f t="shared" si="175"/>
        <v>1061</v>
      </c>
      <c r="G692" s="53">
        <f t="shared" si="176"/>
        <v>1061</v>
      </c>
      <c r="H692" s="14" t="s">
        <v>2390</v>
      </c>
      <c r="I692" s="97" t="str">
        <f t="shared" si="174"/>
        <v>MM36_7</v>
      </c>
    </row>
    <row r="693" spans="1:9" ht="63.75" x14ac:dyDescent="0.25">
      <c r="A693" s="54" t="s">
        <v>876</v>
      </c>
      <c r="B693" s="90" t="str">
        <f>A693&amp;" Which of the following mobile money agents are the closest to where you live? Regardless of what service you use.  " &amp;'brand name'!C9</f>
        <v>MM36.8 Which of the following mobile money agents are the closest to where you live? Regardless of what service you use.  XL Tunai</v>
      </c>
      <c r="C693" s="96" t="s">
        <v>142</v>
      </c>
      <c r="D693" s="54" t="s">
        <v>38</v>
      </c>
      <c r="E693" s="53">
        <v>1</v>
      </c>
      <c r="F693" s="53">
        <f t="shared" si="175"/>
        <v>1062</v>
      </c>
      <c r="G693" s="53">
        <f t="shared" si="176"/>
        <v>1062</v>
      </c>
      <c r="H693" s="14" t="s">
        <v>2390</v>
      </c>
      <c r="I693" s="97" t="str">
        <f>LEFT(A693,4)&amp;"_"&amp;RIGHT(A693,1)</f>
        <v>MM36_8</v>
      </c>
    </row>
    <row r="694" spans="1:9" ht="63.75" x14ac:dyDescent="0.25">
      <c r="A694" s="54" t="s">
        <v>877</v>
      </c>
      <c r="B694" s="90" t="str">
        <f>A694&amp;" Which of the following mobile money agents are the closest to where you live? Regardless of what service you use.  " &amp;'brand name'!C10</f>
        <v>MM36.9 Which of the following mobile money agents are the closest to where you live? Regardless of what service you use.  Sakuku</v>
      </c>
      <c r="C694" s="96" t="s">
        <v>142</v>
      </c>
      <c r="D694" s="54" t="s">
        <v>38</v>
      </c>
      <c r="E694" s="53">
        <v>1</v>
      </c>
      <c r="F694" s="53">
        <f t="shared" si="175"/>
        <v>1063</v>
      </c>
      <c r="G694" s="53">
        <f t="shared" si="176"/>
        <v>1063</v>
      </c>
      <c r="H694" s="14" t="s">
        <v>2390</v>
      </c>
      <c r="I694" s="97" t="str">
        <f>LEFT(A694,4)&amp;"_"&amp;RIGHT(A694,1)</f>
        <v>MM36_9</v>
      </c>
    </row>
    <row r="695" spans="1:9" ht="63.75" x14ac:dyDescent="0.25">
      <c r="A695" s="54" t="s">
        <v>878</v>
      </c>
      <c r="B695" s="90" t="str">
        <f>A695&amp;" Which of the following mobile money agents are the closest to where you live? Regardless of what service you use.  " &amp;'brand name'!C11</f>
        <v>MM36.10 Which of the following mobile money agents are the closest to where you live? Regardless of what service you use.  True Money</v>
      </c>
      <c r="C695" s="96" t="s">
        <v>142</v>
      </c>
      <c r="D695" s="54" t="s">
        <v>38</v>
      </c>
      <c r="E695" s="53">
        <v>1</v>
      </c>
      <c r="F695" s="53">
        <f t="shared" si="175"/>
        <v>1064</v>
      </c>
      <c r="G695" s="53">
        <f t="shared" si="176"/>
        <v>1064</v>
      </c>
      <c r="H695" s="14" t="s">
        <v>2390</v>
      </c>
      <c r="I695" s="97" t="str">
        <f>LEFT(A695,4)&amp;"_"&amp;RIGHT(A695,2)</f>
        <v>MM36_10</v>
      </c>
    </row>
    <row r="696" spans="1:9" ht="63.75" x14ac:dyDescent="0.25">
      <c r="A696" s="54" t="s">
        <v>2392</v>
      </c>
      <c r="B696" s="90" t="str">
        <f>A696&amp;" Which of the following mobile money agents are the closest to where you live? Regardless of what service you use.  " &amp;'brand name'!C12</f>
        <v>MM36.11 Which of the following mobile money agents are the closest to where you live? Regardless of what service you use.  T-Bank</v>
      </c>
      <c r="C696" s="96" t="s">
        <v>142</v>
      </c>
      <c r="D696" s="54" t="s">
        <v>38</v>
      </c>
      <c r="E696" s="53">
        <v>1</v>
      </c>
      <c r="F696" s="53">
        <f t="shared" si="175"/>
        <v>1065</v>
      </c>
      <c r="G696" s="53">
        <f t="shared" si="176"/>
        <v>1065</v>
      </c>
      <c r="H696" s="14" t="s">
        <v>2390</v>
      </c>
      <c r="I696" s="97" t="str">
        <f>LEFT(A696,4)&amp;"_"&amp;RIGHT(A696,2)</f>
        <v>MM36_11</v>
      </c>
    </row>
    <row r="697" spans="1:9" ht="63.75" x14ac:dyDescent="0.25">
      <c r="A697" s="54" t="s">
        <v>879</v>
      </c>
      <c r="B697" s="90" t="str">
        <f>A697&amp;" Which of the following mobile money agents are the closest to where you live? Regardless of what service you use.  " &amp;'brand name'!C13</f>
        <v>MM36.96 Which of the following mobile money agents are the closest to where you live? Regardless of what service you use.  Other(Specify)</v>
      </c>
      <c r="C697" s="96" t="s">
        <v>142</v>
      </c>
      <c r="D697" s="54" t="s">
        <v>38</v>
      </c>
      <c r="E697" s="53">
        <v>1</v>
      </c>
      <c r="F697" s="53">
        <f t="shared" ref="F697:F698" si="177">G696+1</f>
        <v>1066</v>
      </c>
      <c r="G697" s="53">
        <f t="shared" ref="G697:G698" si="178">G696+E697</f>
        <v>1066</v>
      </c>
      <c r="H697" s="14" t="s">
        <v>2390</v>
      </c>
      <c r="I697" s="97" t="str">
        <f>LEFT(A697,4)&amp;"_"&amp;RIGHT(A697,2)</f>
        <v>MM36_96</v>
      </c>
    </row>
    <row r="698" spans="1:9" ht="63.75" x14ac:dyDescent="0.25">
      <c r="A698" s="54" t="s">
        <v>880</v>
      </c>
      <c r="B698" s="96" t="str">
        <f>A698 &amp;". Do you usually go to a mobile money agent at or near the following places? " &amp;Other!T2</f>
        <v>MM37.1. Do you usually go to a mobile money agent at or near the following places? Your home</v>
      </c>
      <c r="C698" s="96" t="s">
        <v>142</v>
      </c>
      <c r="D698" s="54" t="s">
        <v>38</v>
      </c>
      <c r="E698" s="53">
        <v>1</v>
      </c>
      <c r="F698" s="53">
        <f t="shared" si="177"/>
        <v>1067</v>
      </c>
      <c r="G698" s="53">
        <f t="shared" si="178"/>
        <v>1067</v>
      </c>
      <c r="H698" s="14" t="s">
        <v>2390</v>
      </c>
      <c r="I698" s="97" t="str">
        <f t="shared" ref="I698:I714" si="179">LEFT(A698,4)&amp;"_"&amp;RIGHT(A698,1)</f>
        <v>MM37_1</v>
      </c>
    </row>
    <row r="699" spans="1:9" ht="63.75" x14ac:dyDescent="0.25">
      <c r="A699" s="54" t="s">
        <v>881</v>
      </c>
      <c r="B699" s="96" t="str">
        <f>A699 &amp;". Do you usually go to a mobile money agent at or near the following places? " &amp;Other!T3</f>
        <v>MM37.2. Do you usually go to a mobile money agent at or near the following places? Your work</v>
      </c>
      <c r="C699" s="96" t="s">
        <v>142</v>
      </c>
      <c r="D699" s="54" t="s">
        <v>38</v>
      </c>
      <c r="E699" s="53">
        <v>1</v>
      </c>
      <c r="F699" s="53">
        <f>G698+1</f>
        <v>1068</v>
      </c>
      <c r="G699" s="53">
        <f>G698+E699</f>
        <v>1068</v>
      </c>
      <c r="H699" s="14" t="s">
        <v>2390</v>
      </c>
      <c r="I699" s="97" t="str">
        <f t="shared" si="179"/>
        <v>MM37_2</v>
      </c>
    </row>
    <row r="700" spans="1:9" ht="63.75" x14ac:dyDescent="0.25">
      <c r="A700" s="54" t="s">
        <v>882</v>
      </c>
      <c r="B700" s="96" t="str">
        <f>A700 &amp;". Do you usually go to a mobile money agent at or near the following places? " &amp;Other!T4</f>
        <v>MM37.3. Do you usually go to a mobile money agent at or near the following places? Where you shop for food</v>
      </c>
      <c r="C700" s="96" t="s">
        <v>142</v>
      </c>
      <c r="D700" s="54" t="s">
        <v>38</v>
      </c>
      <c r="E700" s="53">
        <v>1</v>
      </c>
      <c r="F700" s="53">
        <f t="shared" si="172"/>
        <v>1069</v>
      </c>
      <c r="G700" s="53">
        <f t="shared" si="173"/>
        <v>1069</v>
      </c>
      <c r="H700" s="14" t="s">
        <v>2390</v>
      </c>
      <c r="I700" s="97" t="str">
        <f t="shared" si="179"/>
        <v>MM37_3</v>
      </c>
    </row>
    <row r="701" spans="1:9" ht="63.75" x14ac:dyDescent="0.25">
      <c r="A701" s="54" t="s">
        <v>883</v>
      </c>
      <c r="B701" s="96" t="str">
        <f>A701 &amp;". Do you usually go to a mobile money agent at or near the following places? " &amp;Other!T5</f>
        <v>MM37.4. Do you usually go to a mobile money agent at or near the following places? Near your children’s school/childcare facility</v>
      </c>
      <c r="C701" s="96" t="s">
        <v>142</v>
      </c>
      <c r="D701" s="54" t="s">
        <v>38</v>
      </c>
      <c r="E701" s="53">
        <v>1</v>
      </c>
      <c r="F701" s="53">
        <f t="shared" si="172"/>
        <v>1070</v>
      </c>
      <c r="G701" s="53">
        <f t="shared" si="173"/>
        <v>1070</v>
      </c>
      <c r="H701" s="14" t="s">
        <v>2390</v>
      </c>
      <c r="I701" s="97" t="str">
        <f t="shared" si="179"/>
        <v>MM37_4</v>
      </c>
    </row>
    <row r="702" spans="1:9" ht="63.75" x14ac:dyDescent="0.25">
      <c r="A702" s="54" t="s">
        <v>884</v>
      </c>
      <c r="B702" s="96" t="str">
        <f>A702 &amp;". Do you usually go to a mobile money agent at or near the following places? " &amp;Other!T6</f>
        <v>MM37.5. Do you usually go to a mobile money agent at or near the following places? Near a public transportation hub, for example, a bus stop or station</v>
      </c>
      <c r="C702" s="96" t="s">
        <v>142</v>
      </c>
      <c r="D702" s="54" t="s">
        <v>38</v>
      </c>
      <c r="E702" s="53">
        <v>1</v>
      </c>
      <c r="F702" s="53">
        <f t="shared" si="172"/>
        <v>1071</v>
      </c>
      <c r="G702" s="53">
        <f t="shared" si="173"/>
        <v>1071</v>
      </c>
      <c r="H702" s="14" t="s">
        <v>2390</v>
      </c>
      <c r="I702" s="97" t="str">
        <f t="shared" si="179"/>
        <v>MM37_5</v>
      </c>
    </row>
    <row r="703" spans="1:9" ht="63.75" x14ac:dyDescent="0.25">
      <c r="A703" s="54" t="s">
        <v>885</v>
      </c>
      <c r="B703" s="96" t="str">
        <f>A703 &amp;". Do you usually go to a mobile money agent at or near the following places? " &amp;Other!T7</f>
        <v>MM37.6. Do you usually go to a mobile money agent at or near the following places? Near a shop where you go to charge your mobile phone</v>
      </c>
      <c r="C703" s="96" t="s">
        <v>142</v>
      </c>
      <c r="D703" s="54" t="s">
        <v>38</v>
      </c>
      <c r="E703" s="53">
        <v>1</v>
      </c>
      <c r="F703" s="53">
        <f t="shared" si="172"/>
        <v>1072</v>
      </c>
      <c r="G703" s="53">
        <f t="shared" si="173"/>
        <v>1072</v>
      </c>
      <c r="H703" s="14" t="s">
        <v>2390</v>
      </c>
      <c r="I703" s="97" t="str">
        <f t="shared" si="179"/>
        <v>MM37_6</v>
      </c>
    </row>
    <row r="704" spans="1:9" ht="63.75" x14ac:dyDescent="0.25">
      <c r="A704" s="54" t="s">
        <v>886</v>
      </c>
      <c r="B704" s="96" t="str">
        <f>A704 &amp;". Do you usually go to a mobile money agent at or near the following places? " &amp;Other!T8</f>
        <v>MM37.7. Do you usually go to a mobile money agent at or near the following places? Near/at the shop where you buy airtime</v>
      </c>
      <c r="C704" s="96" t="s">
        <v>142</v>
      </c>
      <c r="D704" s="54" t="s">
        <v>38</v>
      </c>
      <c r="E704" s="53">
        <v>1</v>
      </c>
      <c r="F704" s="53">
        <f t="shared" si="172"/>
        <v>1073</v>
      </c>
      <c r="G704" s="53">
        <f t="shared" si="173"/>
        <v>1073</v>
      </c>
      <c r="H704" s="14" t="s">
        <v>2390</v>
      </c>
      <c r="I704" s="97" t="str">
        <f t="shared" si="179"/>
        <v>MM37_7</v>
      </c>
    </row>
    <row r="705" spans="1:9" ht="63.75" x14ac:dyDescent="0.25">
      <c r="A705" s="54" t="s">
        <v>887</v>
      </c>
      <c r="B705" s="96" t="str">
        <f>A705 &amp;". Do you usually go to a mobile money agent at or near the following places? " &amp;Other!T9</f>
        <v>MM37.96. Do you usually go to a mobile money agent at or near the following places? Other (Specify)</v>
      </c>
      <c r="C705" s="96" t="s">
        <v>142</v>
      </c>
      <c r="D705" s="54" t="s">
        <v>38</v>
      </c>
      <c r="E705" s="53">
        <v>1</v>
      </c>
      <c r="F705" s="53">
        <f t="shared" si="172"/>
        <v>1074</v>
      </c>
      <c r="G705" s="53">
        <f t="shared" si="173"/>
        <v>1074</v>
      </c>
      <c r="H705" s="14" t="s">
        <v>2390</v>
      </c>
      <c r="I705" s="97" t="str">
        <f>LEFT(A705,4)&amp;"_"&amp;RIGHT(A705,2)</f>
        <v>MM37_96</v>
      </c>
    </row>
    <row r="706" spans="1:9" ht="63.75" x14ac:dyDescent="0.25">
      <c r="A706" s="53" t="s">
        <v>888</v>
      </c>
      <c r="B706" s="90" t="str">
        <f>A706&amp;".Have you ever experienced any of the following issues with any mobile money agent? "&amp;Other!U2</f>
        <v>MM38.1.Have you ever experienced any of the following issues with any mobile money agent? Agent was absent</v>
      </c>
      <c r="C706" s="90" t="s">
        <v>142</v>
      </c>
      <c r="D706" s="53" t="s">
        <v>38</v>
      </c>
      <c r="E706" s="53">
        <v>1</v>
      </c>
      <c r="F706" s="53">
        <f t="shared" si="172"/>
        <v>1075</v>
      </c>
      <c r="G706" s="53">
        <f t="shared" si="173"/>
        <v>1075</v>
      </c>
      <c r="H706" s="14" t="s">
        <v>2390</v>
      </c>
      <c r="I706" s="94" t="str">
        <f t="shared" si="179"/>
        <v>MM38_1</v>
      </c>
    </row>
    <row r="707" spans="1:9" ht="63.75" x14ac:dyDescent="0.25">
      <c r="A707" s="53" t="s">
        <v>889</v>
      </c>
      <c r="B707" s="90" t="str">
        <f>A707&amp;".Have you ever experienced any of the following issues with any mobile money agent? "&amp;Other!U3</f>
        <v>MM38.2.Have you ever experienced any of the following issues with any mobile money agent? Agent was rude</v>
      </c>
      <c r="C707" s="90" t="s">
        <v>142</v>
      </c>
      <c r="D707" s="53" t="s">
        <v>38</v>
      </c>
      <c r="E707" s="53">
        <v>1</v>
      </c>
      <c r="F707" s="53">
        <f t="shared" si="172"/>
        <v>1076</v>
      </c>
      <c r="G707" s="53">
        <f t="shared" si="173"/>
        <v>1076</v>
      </c>
      <c r="H707" s="14" t="s">
        <v>2390</v>
      </c>
      <c r="I707" s="94" t="str">
        <f t="shared" si="179"/>
        <v>MM38_2</v>
      </c>
    </row>
    <row r="708" spans="1:9" ht="63.75" x14ac:dyDescent="0.25">
      <c r="A708" s="53" t="s">
        <v>890</v>
      </c>
      <c r="B708" s="90" t="str">
        <f>A708&amp;".Have you ever experienced any of the following issues with any mobile money agent? "&amp;Other!U4</f>
        <v>MM38.3.Have you ever experienced any of the following issues with any mobile money agent? Agent did not have enough cash or e-float and could not perform the transaction</v>
      </c>
      <c r="C708" s="90" t="s">
        <v>142</v>
      </c>
      <c r="D708" s="53" t="s">
        <v>38</v>
      </c>
      <c r="E708" s="53">
        <v>1</v>
      </c>
      <c r="F708" s="53">
        <f t="shared" si="172"/>
        <v>1077</v>
      </c>
      <c r="G708" s="53">
        <f t="shared" si="173"/>
        <v>1077</v>
      </c>
      <c r="H708" s="14" t="s">
        <v>2390</v>
      </c>
      <c r="I708" s="94" t="str">
        <f t="shared" si="179"/>
        <v>MM38_3</v>
      </c>
    </row>
    <row r="709" spans="1:9" ht="63.75" x14ac:dyDescent="0.25">
      <c r="A709" s="53" t="s">
        <v>891</v>
      </c>
      <c r="B709" s="90" t="str">
        <f>A709&amp;".Have you ever experienced any of the following issues with any mobile money agent? "&amp;Other!U5</f>
        <v>MM38.4.Have you ever experienced any of the following issues with any mobile money agent? Agent refused to perform transaction for no reason</v>
      </c>
      <c r="C709" s="90" t="s">
        <v>142</v>
      </c>
      <c r="D709" s="53" t="s">
        <v>38</v>
      </c>
      <c r="E709" s="53">
        <v>1</v>
      </c>
      <c r="F709" s="53">
        <f>G708+1</f>
        <v>1078</v>
      </c>
      <c r="G709" s="53">
        <f>G708+E709</f>
        <v>1078</v>
      </c>
      <c r="H709" s="14" t="s">
        <v>2390</v>
      </c>
      <c r="I709" s="94" t="str">
        <f t="shared" si="179"/>
        <v>MM38_4</v>
      </c>
    </row>
    <row r="710" spans="1:9" ht="63.75" x14ac:dyDescent="0.25">
      <c r="A710" s="53" t="s">
        <v>892</v>
      </c>
      <c r="B710" s="90" t="str">
        <f>A710&amp;".Have you ever experienced any of the following issues with any mobile money agent? "&amp;Other!U6</f>
        <v>MM38.5.Have you ever experienced any of the following issues with any mobile money agent? Agent did not know how to perform the transaction</v>
      </c>
      <c r="C710" s="90" t="s">
        <v>142</v>
      </c>
      <c r="D710" s="53" t="s">
        <v>38</v>
      </c>
      <c r="E710" s="53">
        <v>1</v>
      </c>
      <c r="F710" s="53">
        <f t="shared" si="172"/>
        <v>1079</v>
      </c>
      <c r="G710" s="53">
        <f t="shared" si="173"/>
        <v>1079</v>
      </c>
      <c r="H710" s="14" t="s">
        <v>2390</v>
      </c>
      <c r="I710" s="94" t="str">
        <f t="shared" si="179"/>
        <v>MM38_5</v>
      </c>
    </row>
    <row r="711" spans="1:9" ht="63.75" x14ac:dyDescent="0.25">
      <c r="A711" s="53" t="s">
        <v>893</v>
      </c>
      <c r="B711" s="90" t="str">
        <f>A711&amp;".Have you ever experienced any of the following issues with any mobile money agent? "&amp;Other!U7</f>
        <v>MM38.6.Have you ever experienced any of the following issues with any mobile money agent? Agent overcharged for the transaction or asked you to pay a deposit</v>
      </c>
      <c r="C711" s="90" t="s">
        <v>142</v>
      </c>
      <c r="D711" s="53" t="s">
        <v>38</v>
      </c>
      <c r="E711" s="53">
        <v>1</v>
      </c>
      <c r="F711" s="53">
        <f t="shared" si="172"/>
        <v>1080</v>
      </c>
      <c r="G711" s="53">
        <f t="shared" si="173"/>
        <v>1080</v>
      </c>
      <c r="H711" s="14" t="s">
        <v>2390</v>
      </c>
      <c r="I711" s="94" t="str">
        <f t="shared" si="179"/>
        <v>MM38_6</v>
      </c>
    </row>
    <row r="712" spans="1:9" ht="63.75" x14ac:dyDescent="0.25">
      <c r="A712" s="53" t="s">
        <v>894</v>
      </c>
      <c r="B712" s="90" t="str">
        <f>A712&amp;".Have you ever experienced any of the following issues with any mobile money agent? "&amp;Other!U8</f>
        <v>MM38.7.Have you ever experienced any of the following issues with any mobile money agent? Agent did not give all the cash that was owed</v>
      </c>
      <c r="C712" s="90" t="s">
        <v>142</v>
      </c>
      <c r="D712" s="53" t="s">
        <v>38</v>
      </c>
      <c r="E712" s="53">
        <v>1</v>
      </c>
      <c r="F712" s="53">
        <f t="shared" si="172"/>
        <v>1081</v>
      </c>
      <c r="G712" s="53">
        <f t="shared" si="173"/>
        <v>1081</v>
      </c>
      <c r="H712" s="14" t="s">
        <v>2390</v>
      </c>
      <c r="I712" s="94" t="str">
        <f t="shared" si="179"/>
        <v>MM38_7</v>
      </c>
    </row>
    <row r="713" spans="1:9" ht="63.75" x14ac:dyDescent="0.25">
      <c r="A713" s="53" t="s">
        <v>895</v>
      </c>
      <c r="B713" s="90" t="str">
        <f>A713&amp;".Have you ever experienced any of the following issues with any mobile money agent? "&amp;Other!U9</f>
        <v>MM38.8.Have you ever experienced any of the following issues with any mobile money agent? Agent system or mobile network was down</v>
      </c>
      <c r="C713" s="90" t="s">
        <v>142</v>
      </c>
      <c r="D713" s="53" t="s">
        <v>38</v>
      </c>
      <c r="E713" s="53">
        <v>1</v>
      </c>
      <c r="F713" s="53">
        <f t="shared" si="172"/>
        <v>1082</v>
      </c>
      <c r="G713" s="53">
        <f t="shared" si="173"/>
        <v>1082</v>
      </c>
      <c r="H713" s="14" t="s">
        <v>2390</v>
      </c>
      <c r="I713" s="94" t="str">
        <f t="shared" si="179"/>
        <v>MM38_8</v>
      </c>
    </row>
    <row r="714" spans="1:9" ht="63.75" x14ac:dyDescent="0.25">
      <c r="A714" s="53" t="s">
        <v>896</v>
      </c>
      <c r="B714" s="90" t="str">
        <f>A714&amp;".Have you ever experienced any of the following issues with any mobile money agent? "&amp;Other!U10</f>
        <v>MM38.9.Have you ever experienced any of the following issues with any mobile money agent? It was very time-consuming/it took me a lot of time to do the transaction</v>
      </c>
      <c r="C714" s="90" t="s">
        <v>142</v>
      </c>
      <c r="D714" s="53" t="s">
        <v>38</v>
      </c>
      <c r="E714" s="53">
        <v>1</v>
      </c>
      <c r="F714" s="53">
        <f t="shared" si="172"/>
        <v>1083</v>
      </c>
      <c r="G714" s="53">
        <f t="shared" si="173"/>
        <v>1083</v>
      </c>
      <c r="H714" s="14" t="s">
        <v>2390</v>
      </c>
      <c r="I714" s="94" t="str">
        <f t="shared" si="179"/>
        <v>MM38_9</v>
      </c>
    </row>
    <row r="715" spans="1:9" ht="63.75" x14ac:dyDescent="0.25">
      <c r="A715" s="53" t="s">
        <v>897</v>
      </c>
      <c r="B715" s="90" t="str">
        <f>A715&amp;".Have you ever experienced any of the following issues with any mobile money agent? "&amp;Other!U11</f>
        <v>MM38.10.Have you ever experienced any of the following issues with any mobile money agent? You did not get a receipt</v>
      </c>
      <c r="C715" s="90" t="s">
        <v>142</v>
      </c>
      <c r="D715" s="53" t="s">
        <v>38</v>
      </c>
      <c r="E715" s="53">
        <v>1</v>
      </c>
      <c r="F715" s="53">
        <f t="shared" si="172"/>
        <v>1084</v>
      </c>
      <c r="G715" s="53">
        <f t="shared" si="173"/>
        <v>1084</v>
      </c>
      <c r="H715" s="14" t="s">
        <v>2390</v>
      </c>
      <c r="I715" s="94" t="str">
        <f t="shared" ref="I715:I723" si="180">LEFT(A715,4)&amp;"_"&amp;RIGHT(A715,2)</f>
        <v>MM38_10</v>
      </c>
    </row>
    <row r="716" spans="1:9" ht="63.75" x14ac:dyDescent="0.25">
      <c r="A716" s="53" t="s">
        <v>898</v>
      </c>
      <c r="B716" s="90" t="str">
        <f>A716&amp;".Have you ever experienced any of the following issues with any mobile money agent? "&amp;Other!U12</f>
        <v xml:space="preserve">MM38.11.Have you ever experienced any of the following issues with any mobile money agent? Agent charged you for depositing money </v>
      </c>
      <c r="C716" s="90" t="s">
        <v>142</v>
      </c>
      <c r="D716" s="53" t="s">
        <v>38</v>
      </c>
      <c r="E716" s="53">
        <v>1</v>
      </c>
      <c r="F716" s="53">
        <f t="shared" si="172"/>
        <v>1085</v>
      </c>
      <c r="G716" s="53">
        <f t="shared" si="173"/>
        <v>1085</v>
      </c>
      <c r="H716" s="14" t="s">
        <v>2390</v>
      </c>
      <c r="I716" s="94" t="str">
        <f t="shared" si="180"/>
        <v>MM38_11</v>
      </c>
    </row>
    <row r="717" spans="1:9" ht="63.75" x14ac:dyDescent="0.25">
      <c r="A717" s="53" t="s">
        <v>899</v>
      </c>
      <c r="B717" s="90" t="str">
        <f>A717&amp;".Have you ever experienced any of the following issues with any mobile money agent? "&amp;Other!U13</f>
        <v>MM38.12.Have you ever experienced any of the following issues with any mobile money agent? Agent asked for my PIN number</v>
      </c>
      <c r="C717" s="90" t="s">
        <v>142</v>
      </c>
      <c r="D717" s="53" t="s">
        <v>38</v>
      </c>
      <c r="E717" s="53">
        <v>1</v>
      </c>
      <c r="F717" s="53">
        <f t="shared" si="172"/>
        <v>1086</v>
      </c>
      <c r="G717" s="53">
        <f t="shared" si="173"/>
        <v>1086</v>
      </c>
      <c r="H717" s="14" t="s">
        <v>2390</v>
      </c>
      <c r="I717" s="94" t="str">
        <f t="shared" si="180"/>
        <v>MM38_12</v>
      </c>
    </row>
    <row r="718" spans="1:9" ht="63.75" x14ac:dyDescent="0.25">
      <c r="A718" s="53" t="s">
        <v>900</v>
      </c>
      <c r="B718" s="90" t="str">
        <f>A718&amp;".Have you ever experienced any of the following issues with any mobile money agent? "&amp;Other!U14</f>
        <v>MM38.13.Have you ever experienced any of the following issues with any mobile money agent? Agent was dismissive of women</v>
      </c>
      <c r="C718" s="90" t="s">
        <v>142</v>
      </c>
      <c r="D718" s="53" t="s">
        <v>38</v>
      </c>
      <c r="E718" s="53">
        <v>1</v>
      </c>
      <c r="F718" s="53">
        <f t="shared" si="172"/>
        <v>1087</v>
      </c>
      <c r="G718" s="53">
        <f t="shared" si="173"/>
        <v>1087</v>
      </c>
      <c r="H718" s="14" t="s">
        <v>2390</v>
      </c>
      <c r="I718" s="94" t="str">
        <f t="shared" si="180"/>
        <v>MM38_13</v>
      </c>
    </row>
    <row r="719" spans="1:9" ht="63.75" x14ac:dyDescent="0.25">
      <c r="A719" s="53" t="s">
        <v>901</v>
      </c>
      <c r="B719" s="90" t="str">
        <f>A719&amp;".Have you ever experienced any of the following issues with any mobile money agent? "&amp;Other!U15</f>
        <v>MM38.14.Have you ever experienced any of the following issues with any mobile money agent? Agent committed fraud</v>
      </c>
      <c r="C719" s="90" t="s">
        <v>142</v>
      </c>
      <c r="D719" s="53" t="s">
        <v>38</v>
      </c>
      <c r="E719" s="53">
        <v>1</v>
      </c>
      <c r="F719" s="53">
        <f t="shared" si="172"/>
        <v>1088</v>
      </c>
      <c r="G719" s="53">
        <f t="shared" si="173"/>
        <v>1088</v>
      </c>
      <c r="H719" s="14" t="s">
        <v>2390</v>
      </c>
      <c r="I719" s="94" t="str">
        <f t="shared" si="180"/>
        <v>MM38_14</v>
      </c>
    </row>
    <row r="720" spans="1:9" ht="63.75" x14ac:dyDescent="0.25">
      <c r="A720" s="53" t="s">
        <v>902</v>
      </c>
      <c r="B720" s="90" t="str">
        <f>A720&amp;".Have you ever experienced any of the following issues with any mobile money agent? "&amp;Other!U16</f>
        <v>MM38.15.Have you ever experienced any of the following issues with any mobile money agent? Agent’s place was not secure/there were suspicious people at agent’s place</v>
      </c>
      <c r="C720" s="90" t="s">
        <v>142</v>
      </c>
      <c r="D720" s="53" t="s">
        <v>38</v>
      </c>
      <c r="E720" s="53">
        <v>1</v>
      </c>
      <c r="F720" s="53">
        <f t="shared" si="172"/>
        <v>1089</v>
      </c>
      <c r="G720" s="53">
        <f t="shared" si="173"/>
        <v>1089</v>
      </c>
      <c r="H720" s="14" t="s">
        <v>2390</v>
      </c>
      <c r="I720" s="94" t="str">
        <f t="shared" si="180"/>
        <v>MM38_15</v>
      </c>
    </row>
    <row r="721" spans="1:9" ht="63.75" x14ac:dyDescent="0.25">
      <c r="A721" s="53" t="s">
        <v>903</v>
      </c>
      <c r="B721" s="90" t="str">
        <f>A721&amp;".Have you ever experienced any of the following issues with any mobile money agent? "&amp;Other!U17</f>
        <v>MM38.16.Have you ever experienced any of the following issues with any mobile money agent? Agent shared your personal/account information with other people without my knowledge/permission</v>
      </c>
      <c r="C721" s="90" t="s">
        <v>142</v>
      </c>
      <c r="D721" s="53" t="s">
        <v>38</v>
      </c>
      <c r="E721" s="53">
        <v>1</v>
      </c>
      <c r="F721" s="53">
        <f t="shared" si="172"/>
        <v>1090</v>
      </c>
      <c r="G721" s="53">
        <f t="shared" si="173"/>
        <v>1090</v>
      </c>
      <c r="H721" s="14" t="s">
        <v>2390</v>
      </c>
      <c r="I721" s="94" t="str">
        <f t="shared" si="180"/>
        <v>MM38_16</v>
      </c>
    </row>
    <row r="722" spans="1:9" ht="63.75" x14ac:dyDescent="0.25">
      <c r="A722" s="53" t="s">
        <v>904</v>
      </c>
      <c r="B722" s="90" t="str">
        <f>A722&amp;".Have you ever experienced any of the following issues with any mobile money agent? "&amp;Other!U18</f>
        <v>MM38.17.Have you ever experienced any of the following issues with any mobile money agent? Agent refused to do the transaction because you did not have my ID</v>
      </c>
      <c r="C722" s="90" t="s">
        <v>142</v>
      </c>
      <c r="D722" s="53" t="s">
        <v>38</v>
      </c>
      <c r="E722" s="53">
        <v>1</v>
      </c>
      <c r="F722" s="53">
        <f t="shared" si="172"/>
        <v>1091</v>
      </c>
      <c r="G722" s="53">
        <f t="shared" si="173"/>
        <v>1091</v>
      </c>
      <c r="H722" s="14" t="s">
        <v>2390</v>
      </c>
      <c r="I722" s="94" t="str">
        <f t="shared" si="180"/>
        <v>MM38_17</v>
      </c>
    </row>
    <row r="723" spans="1:9" ht="63.75" x14ac:dyDescent="0.25">
      <c r="A723" s="53" t="s">
        <v>905</v>
      </c>
      <c r="B723" s="90" t="str">
        <f>A723&amp;".Have you ever experienced any of the following issues with any mobile money agent? "&amp;Other!U19</f>
        <v>MM38.96.Have you ever experienced any of the following issues with any mobile money agent? Other (Specify)</v>
      </c>
      <c r="C723" s="90" t="s">
        <v>142</v>
      </c>
      <c r="D723" s="53" t="s">
        <v>38</v>
      </c>
      <c r="E723" s="53">
        <v>1</v>
      </c>
      <c r="F723" s="53">
        <f t="shared" si="172"/>
        <v>1092</v>
      </c>
      <c r="G723" s="53">
        <f t="shared" si="173"/>
        <v>1092</v>
      </c>
      <c r="H723" s="14" t="s">
        <v>2390</v>
      </c>
      <c r="I723" s="94" t="str">
        <f t="shared" si="180"/>
        <v>MM38_96</v>
      </c>
    </row>
    <row r="724" spans="1:9" ht="25.5" x14ac:dyDescent="0.25">
      <c r="A724" s="54" t="s">
        <v>906</v>
      </c>
      <c r="B724" s="96" t="str">
        <f>A724&amp;".Was the issue resolved to your satisfaction? "&amp;Other!U2</f>
        <v>MM40.1.Was the issue resolved to your satisfaction? Agent was absent</v>
      </c>
      <c r="C724" s="96" t="s">
        <v>142</v>
      </c>
      <c r="D724" s="54" t="s">
        <v>38</v>
      </c>
      <c r="E724" s="53">
        <v>1</v>
      </c>
      <c r="F724" s="53">
        <f t="shared" si="172"/>
        <v>1093</v>
      </c>
      <c r="G724" s="53">
        <f t="shared" si="173"/>
        <v>1093</v>
      </c>
      <c r="H724" s="96" t="str">
        <f>"IF "&amp;I706&amp;"=1"</f>
        <v>IF MM38_1=1</v>
      </c>
      <c r="I724" s="97" t="str">
        <f t="shared" ref="I724:I732" si="181">LEFT(A724,4)&amp;"_"&amp;RIGHT(A724,1)</f>
        <v>MM40_1</v>
      </c>
    </row>
    <row r="725" spans="1:9" ht="25.5" x14ac:dyDescent="0.25">
      <c r="A725" s="54" t="s">
        <v>907</v>
      </c>
      <c r="B725" s="96" t="str">
        <f>A725&amp;".Was the issue resolved to your satisfaction? "&amp;Other!U3</f>
        <v>MM40.2.Was the issue resolved to your satisfaction? Agent was rude</v>
      </c>
      <c r="C725" s="96" t="s">
        <v>142</v>
      </c>
      <c r="D725" s="54" t="s">
        <v>38</v>
      </c>
      <c r="E725" s="53">
        <v>1</v>
      </c>
      <c r="F725" s="53">
        <f t="shared" si="172"/>
        <v>1094</v>
      </c>
      <c r="G725" s="53">
        <f t="shared" si="173"/>
        <v>1094</v>
      </c>
      <c r="H725" s="96" t="str">
        <f>"IF "&amp;I707&amp;"=1"</f>
        <v>IF MM38_2=1</v>
      </c>
      <c r="I725" s="97" t="str">
        <f t="shared" si="181"/>
        <v>MM40_2</v>
      </c>
    </row>
    <row r="726" spans="1:9" ht="25.5" x14ac:dyDescent="0.25">
      <c r="A726" s="54" t="s">
        <v>908</v>
      </c>
      <c r="B726" s="96" t="str">
        <f>A726&amp;".Was the issue resolved to your satisfaction? "&amp;Other!U4</f>
        <v>MM40.3.Was the issue resolved to your satisfaction? Agent did not have enough cash or e-float and could not perform the transaction</v>
      </c>
      <c r="C726" s="96" t="s">
        <v>142</v>
      </c>
      <c r="D726" s="54" t="s">
        <v>38</v>
      </c>
      <c r="E726" s="53">
        <v>1</v>
      </c>
      <c r="F726" s="53">
        <f t="shared" si="172"/>
        <v>1095</v>
      </c>
      <c r="G726" s="53">
        <f t="shared" si="173"/>
        <v>1095</v>
      </c>
      <c r="H726" s="96" t="str">
        <f>"IF "&amp;I708&amp;"=1"</f>
        <v>IF MM38_3=1</v>
      </c>
      <c r="I726" s="97" t="str">
        <f t="shared" si="181"/>
        <v>MM40_3</v>
      </c>
    </row>
    <row r="727" spans="1:9" ht="25.5" x14ac:dyDescent="0.25">
      <c r="A727" s="54" t="s">
        <v>909</v>
      </c>
      <c r="B727" s="96" t="str">
        <f>A727&amp;".Was the issue resolved to your satisfaction? "&amp;Other!U5</f>
        <v>MM40.4.Was the issue resolved to your satisfaction? Agent refused to perform transaction for no reason</v>
      </c>
      <c r="C727" s="96" t="s">
        <v>142</v>
      </c>
      <c r="D727" s="54" t="s">
        <v>38</v>
      </c>
      <c r="E727" s="53">
        <v>1</v>
      </c>
      <c r="F727" s="53">
        <f t="shared" si="172"/>
        <v>1096</v>
      </c>
      <c r="G727" s="53">
        <f t="shared" si="173"/>
        <v>1096</v>
      </c>
      <c r="H727" s="96" t="str">
        <f t="shared" ref="H727:H741" si="182">"IF "&amp;I709&amp;"=1"</f>
        <v>IF MM38_4=1</v>
      </c>
      <c r="I727" s="97" t="str">
        <f t="shared" si="181"/>
        <v>MM40_4</v>
      </c>
    </row>
    <row r="728" spans="1:9" ht="25.5" x14ac:dyDescent="0.25">
      <c r="A728" s="54" t="s">
        <v>910</v>
      </c>
      <c r="B728" s="96" t="str">
        <f>A728&amp;".Was the issue resolved to your satisfaction? "&amp;Other!U6</f>
        <v>MM40.5.Was the issue resolved to your satisfaction? Agent did not know how to perform the transaction</v>
      </c>
      <c r="C728" s="96" t="s">
        <v>142</v>
      </c>
      <c r="D728" s="54" t="s">
        <v>38</v>
      </c>
      <c r="E728" s="53">
        <v>1</v>
      </c>
      <c r="F728" s="53">
        <f t="shared" si="172"/>
        <v>1097</v>
      </c>
      <c r="G728" s="53">
        <f t="shared" si="173"/>
        <v>1097</v>
      </c>
      <c r="H728" s="96" t="str">
        <f t="shared" si="182"/>
        <v>IF MM38_5=1</v>
      </c>
      <c r="I728" s="97" t="str">
        <f t="shared" si="181"/>
        <v>MM40_5</v>
      </c>
    </row>
    <row r="729" spans="1:9" ht="25.5" x14ac:dyDescent="0.25">
      <c r="A729" s="54" t="s">
        <v>911</v>
      </c>
      <c r="B729" s="96" t="str">
        <f>A729&amp;".Was the issue resolved to your satisfaction? "&amp;Other!U7</f>
        <v>MM40.6.Was the issue resolved to your satisfaction? Agent overcharged for the transaction or asked you to pay a deposit</v>
      </c>
      <c r="C729" s="96" t="s">
        <v>142</v>
      </c>
      <c r="D729" s="54" t="s">
        <v>38</v>
      </c>
      <c r="E729" s="53">
        <v>1</v>
      </c>
      <c r="F729" s="53">
        <f t="shared" si="172"/>
        <v>1098</v>
      </c>
      <c r="G729" s="53">
        <f t="shared" si="173"/>
        <v>1098</v>
      </c>
      <c r="H729" s="96" t="str">
        <f t="shared" si="182"/>
        <v>IF MM38_6=1</v>
      </c>
      <c r="I729" s="97" t="str">
        <f t="shared" si="181"/>
        <v>MM40_6</v>
      </c>
    </row>
    <row r="730" spans="1:9" ht="25.5" x14ac:dyDescent="0.25">
      <c r="A730" s="54" t="s">
        <v>912</v>
      </c>
      <c r="B730" s="96" t="str">
        <f>A730&amp;".Was the issue resolved to your satisfaction? "&amp;Other!U8</f>
        <v>MM40.7.Was the issue resolved to your satisfaction? Agent did not give all the cash that was owed</v>
      </c>
      <c r="C730" s="96" t="s">
        <v>142</v>
      </c>
      <c r="D730" s="54" t="s">
        <v>38</v>
      </c>
      <c r="E730" s="53">
        <v>1</v>
      </c>
      <c r="F730" s="53">
        <f t="shared" si="172"/>
        <v>1099</v>
      </c>
      <c r="G730" s="53">
        <f t="shared" si="173"/>
        <v>1099</v>
      </c>
      <c r="H730" s="96" t="str">
        <f t="shared" si="182"/>
        <v>IF MM38_7=1</v>
      </c>
      <c r="I730" s="97" t="str">
        <f t="shared" si="181"/>
        <v>MM40_7</v>
      </c>
    </row>
    <row r="731" spans="1:9" ht="25.5" x14ac:dyDescent="0.25">
      <c r="A731" s="54" t="s">
        <v>913</v>
      </c>
      <c r="B731" s="96" t="str">
        <f>A731&amp;".Was the issue resolved to your satisfaction? "&amp;Other!U9</f>
        <v>MM40.8.Was the issue resolved to your satisfaction? Agent system or mobile network was down</v>
      </c>
      <c r="C731" s="96" t="s">
        <v>142</v>
      </c>
      <c r="D731" s="54" t="s">
        <v>38</v>
      </c>
      <c r="E731" s="53">
        <v>1</v>
      </c>
      <c r="F731" s="53">
        <f t="shared" si="172"/>
        <v>1100</v>
      </c>
      <c r="G731" s="53">
        <f t="shared" si="173"/>
        <v>1100</v>
      </c>
      <c r="H731" s="96" t="str">
        <f t="shared" si="182"/>
        <v>IF MM38_8=1</v>
      </c>
      <c r="I731" s="97" t="str">
        <f t="shared" si="181"/>
        <v>MM40_8</v>
      </c>
    </row>
    <row r="732" spans="1:9" ht="25.5" x14ac:dyDescent="0.25">
      <c r="A732" s="54" t="s">
        <v>914</v>
      </c>
      <c r="B732" s="96" t="str">
        <f>A732&amp;".Was the issue resolved to your satisfaction? "&amp;Other!U10</f>
        <v>MM40.9.Was the issue resolved to your satisfaction? It was very time-consuming/it took me a lot of time to do the transaction</v>
      </c>
      <c r="C732" s="96" t="s">
        <v>142</v>
      </c>
      <c r="D732" s="54" t="s">
        <v>38</v>
      </c>
      <c r="E732" s="53">
        <v>1</v>
      </c>
      <c r="F732" s="53">
        <f t="shared" si="172"/>
        <v>1101</v>
      </c>
      <c r="G732" s="53">
        <f t="shared" si="173"/>
        <v>1101</v>
      </c>
      <c r="H732" s="96" t="str">
        <f t="shared" si="182"/>
        <v>IF MM38_9=1</v>
      </c>
      <c r="I732" s="97" t="str">
        <f t="shared" si="181"/>
        <v>MM40_9</v>
      </c>
    </row>
    <row r="733" spans="1:9" ht="25.5" x14ac:dyDescent="0.25">
      <c r="A733" s="54" t="s">
        <v>915</v>
      </c>
      <c r="B733" s="96" t="str">
        <f>A733&amp;".Was the issue resolved to your satisfaction? "&amp;Other!U11</f>
        <v>MM40.10.Was the issue resolved to your satisfaction? You did not get a receipt</v>
      </c>
      <c r="C733" s="96" t="s">
        <v>142</v>
      </c>
      <c r="D733" s="54" t="s">
        <v>38</v>
      </c>
      <c r="E733" s="53">
        <v>1</v>
      </c>
      <c r="F733" s="53">
        <f t="shared" si="172"/>
        <v>1102</v>
      </c>
      <c r="G733" s="53">
        <f t="shared" si="173"/>
        <v>1102</v>
      </c>
      <c r="H733" s="96" t="str">
        <f t="shared" si="182"/>
        <v>IF MM38_10=1</v>
      </c>
      <c r="I733" s="97" t="str">
        <f t="shared" ref="I733:I741" si="183">LEFT(A733,4)&amp;"_"&amp;RIGHT(A733,2)</f>
        <v>MM40_10</v>
      </c>
    </row>
    <row r="734" spans="1:9" ht="25.5" x14ac:dyDescent="0.25">
      <c r="A734" s="54" t="s">
        <v>916</v>
      </c>
      <c r="B734" s="96" t="str">
        <f>A734&amp;".Was the issue resolved to your satisfaction? "&amp;Other!U12</f>
        <v xml:space="preserve">MM40.11.Was the issue resolved to your satisfaction? Agent charged you for depositing money </v>
      </c>
      <c r="C734" s="96" t="s">
        <v>142</v>
      </c>
      <c r="D734" s="54" t="s">
        <v>38</v>
      </c>
      <c r="E734" s="53">
        <v>1</v>
      </c>
      <c r="F734" s="53">
        <f t="shared" si="172"/>
        <v>1103</v>
      </c>
      <c r="G734" s="53">
        <f t="shared" si="173"/>
        <v>1103</v>
      </c>
      <c r="H734" s="96" t="str">
        <f t="shared" si="182"/>
        <v>IF MM38_11=1</v>
      </c>
      <c r="I734" s="97" t="str">
        <f t="shared" si="183"/>
        <v>MM40_11</v>
      </c>
    </row>
    <row r="735" spans="1:9" ht="25.5" x14ac:dyDescent="0.25">
      <c r="A735" s="54" t="s">
        <v>917</v>
      </c>
      <c r="B735" s="96" t="str">
        <f>A735&amp;".Was the issue resolved to your satisfaction? "&amp;Other!U13</f>
        <v>MM40.12.Was the issue resolved to your satisfaction? Agent asked for my PIN number</v>
      </c>
      <c r="C735" s="96" t="s">
        <v>142</v>
      </c>
      <c r="D735" s="54" t="s">
        <v>38</v>
      </c>
      <c r="E735" s="53">
        <v>1</v>
      </c>
      <c r="F735" s="53">
        <f t="shared" si="172"/>
        <v>1104</v>
      </c>
      <c r="G735" s="53">
        <f t="shared" si="173"/>
        <v>1104</v>
      </c>
      <c r="H735" s="96" t="str">
        <f t="shared" si="182"/>
        <v>IF MM38_12=1</v>
      </c>
      <c r="I735" s="97" t="str">
        <f t="shared" si="183"/>
        <v>MM40_12</v>
      </c>
    </row>
    <row r="736" spans="1:9" ht="25.5" x14ac:dyDescent="0.25">
      <c r="A736" s="54" t="s">
        <v>918</v>
      </c>
      <c r="B736" s="96" t="str">
        <f>A736&amp;".Was the issue resolved to your satisfaction? "&amp;Other!U14</f>
        <v>MM40.13.Was the issue resolved to your satisfaction? Agent was dismissive of women</v>
      </c>
      <c r="C736" s="96" t="s">
        <v>142</v>
      </c>
      <c r="D736" s="54" t="s">
        <v>38</v>
      </c>
      <c r="E736" s="53">
        <v>1</v>
      </c>
      <c r="F736" s="53">
        <f t="shared" si="172"/>
        <v>1105</v>
      </c>
      <c r="G736" s="53">
        <f t="shared" si="173"/>
        <v>1105</v>
      </c>
      <c r="H736" s="96" t="str">
        <f t="shared" si="182"/>
        <v>IF MM38_13=1</v>
      </c>
      <c r="I736" s="97" t="str">
        <f t="shared" si="183"/>
        <v>MM40_13</v>
      </c>
    </row>
    <row r="737" spans="1:9" ht="25.5" x14ac:dyDescent="0.25">
      <c r="A737" s="54" t="s">
        <v>919</v>
      </c>
      <c r="B737" s="96" t="str">
        <f>A737&amp;".Was the issue resolved to your satisfaction? "&amp;Other!U15</f>
        <v>MM40.14.Was the issue resolved to your satisfaction? Agent committed fraud</v>
      </c>
      <c r="C737" s="96" t="s">
        <v>142</v>
      </c>
      <c r="D737" s="54" t="s">
        <v>38</v>
      </c>
      <c r="E737" s="53">
        <v>1</v>
      </c>
      <c r="F737" s="53">
        <f t="shared" si="172"/>
        <v>1106</v>
      </c>
      <c r="G737" s="53">
        <f t="shared" si="173"/>
        <v>1106</v>
      </c>
      <c r="H737" s="96" t="str">
        <f t="shared" si="182"/>
        <v>IF MM38_14=1</v>
      </c>
      <c r="I737" s="97" t="str">
        <f t="shared" si="183"/>
        <v>MM40_14</v>
      </c>
    </row>
    <row r="738" spans="1:9" ht="25.5" x14ac:dyDescent="0.25">
      <c r="A738" s="54" t="s">
        <v>920</v>
      </c>
      <c r="B738" s="96" t="str">
        <f>A738&amp;".Was the issue resolved to your satisfaction? "&amp;Other!U16</f>
        <v>MM40.15.Was the issue resolved to your satisfaction? Agent’s place was not secure/there were suspicious people at agent’s place</v>
      </c>
      <c r="C738" s="96" t="s">
        <v>142</v>
      </c>
      <c r="D738" s="54" t="s">
        <v>38</v>
      </c>
      <c r="E738" s="53">
        <v>1</v>
      </c>
      <c r="F738" s="53">
        <f t="shared" si="172"/>
        <v>1107</v>
      </c>
      <c r="G738" s="53">
        <f t="shared" si="173"/>
        <v>1107</v>
      </c>
      <c r="H738" s="96" t="str">
        <f t="shared" si="182"/>
        <v>IF MM38_15=1</v>
      </c>
      <c r="I738" s="97" t="str">
        <f t="shared" si="183"/>
        <v>MM40_15</v>
      </c>
    </row>
    <row r="739" spans="1:9" ht="25.5" x14ac:dyDescent="0.25">
      <c r="A739" s="54" t="s">
        <v>921</v>
      </c>
      <c r="B739" s="96" t="str">
        <f>A739&amp;".Was the issue resolved to your satisfaction? "&amp;Other!U17</f>
        <v>MM40.16.Was the issue resolved to your satisfaction? Agent shared your personal/account information with other people without my knowledge/permission</v>
      </c>
      <c r="C739" s="96" t="s">
        <v>142</v>
      </c>
      <c r="D739" s="54" t="s">
        <v>38</v>
      </c>
      <c r="E739" s="53">
        <v>1</v>
      </c>
      <c r="F739" s="53">
        <f t="shared" si="172"/>
        <v>1108</v>
      </c>
      <c r="G739" s="53">
        <f t="shared" si="173"/>
        <v>1108</v>
      </c>
      <c r="H739" s="96" t="str">
        <f t="shared" si="182"/>
        <v>IF MM38_16=1</v>
      </c>
      <c r="I739" s="97" t="str">
        <f t="shared" si="183"/>
        <v>MM40_16</v>
      </c>
    </row>
    <row r="740" spans="1:9" ht="25.5" x14ac:dyDescent="0.25">
      <c r="A740" s="54" t="s">
        <v>922</v>
      </c>
      <c r="B740" s="96" t="str">
        <f>A740&amp;".Was the issue resolved to your satisfaction? "&amp;Other!U18</f>
        <v>MM40.17.Was the issue resolved to your satisfaction? Agent refused to do the transaction because you did not have my ID</v>
      </c>
      <c r="C740" s="96" t="s">
        <v>142</v>
      </c>
      <c r="D740" s="54" t="s">
        <v>38</v>
      </c>
      <c r="E740" s="53">
        <v>1</v>
      </c>
      <c r="F740" s="53">
        <f t="shared" si="172"/>
        <v>1109</v>
      </c>
      <c r="G740" s="53">
        <f t="shared" si="173"/>
        <v>1109</v>
      </c>
      <c r="H740" s="96" t="str">
        <f t="shared" si="182"/>
        <v>IF MM38_17=1</v>
      </c>
      <c r="I740" s="97" t="str">
        <f t="shared" si="183"/>
        <v>MM40_17</v>
      </c>
    </row>
    <row r="741" spans="1:9" ht="25.5" x14ac:dyDescent="0.25">
      <c r="A741" s="53" t="s">
        <v>923</v>
      </c>
      <c r="B741" s="96" t="str">
        <f>A741&amp;".Was the issue resolved to your satisfaction? "&amp;Other!U19</f>
        <v>MM40.96.Was the issue resolved to your satisfaction? Other (Specify)</v>
      </c>
      <c r="C741" s="96" t="s">
        <v>142</v>
      </c>
      <c r="D741" s="54" t="s">
        <v>38</v>
      </c>
      <c r="E741" s="53">
        <v>1</v>
      </c>
      <c r="F741" s="53">
        <f t="shared" si="172"/>
        <v>1110</v>
      </c>
      <c r="G741" s="53">
        <f t="shared" si="173"/>
        <v>1110</v>
      </c>
      <c r="H741" s="96" t="str">
        <f t="shared" si="182"/>
        <v>IF MM38_96=1</v>
      </c>
      <c r="I741" s="97" t="str">
        <f t="shared" si="183"/>
        <v>MM40_96</v>
      </c>
    </row>
    <row r="742" spans="1:9" ht="102" x14ac:dyDescent="0.25">
      <c r="A742" s="54" t="s">
        <v>924</v>
      </c>
      <c r="B742" s="96" t="str">
        <f>A742&amp;".When a mobile money transaction goes wrong, who do you go most frequently to help you resolve the problem?"</f>
        <v>MM41.When a mobile money transaction goes wrong, who do you go most frequently to help you resolve the problem?</v>
      </c>
      <c r="C742" s="96" t="s">
        <v>925</v>
      </c>
      <c r="D742" s="54" t="s">
        <v>38</v>
      </c>
      <c r="E742" s="53">
        <v>2</v>
      </c>
      <c r="F742" s="53">
        <f t="shared" si="172"/>
        <v>1111</v>
      </c>
      <c r="G742" s="53">
        <f t="shared" si="173"/>
        <v>1112</v>
      </c>
      <c r="H742" s="14" t="s">
        <v>2390</v>
      </c>
      <c r="I742" s="97" t="str">
        <f>A742</f>
        <v>MM41</v>
      </c>
    </row>
    <row r="743" spans="1:9" ht="63.75" x14ac:dyDescent="0.25">
      <c r="A743" s="54" t="s">
        <v>926</v>
      </c>
      <c r="B743" s="96" t="str">
        <f>A743&amp;".Tell me if you strongly agree, agree,disagree or strongly disagree with the following statements? "&amp;Other!V2</f>
        <v xml:space="preserve">MM42.1.Tell me if you strongly agree, agree,disagree or strongly disagree with the following statements? Mobile money allows you to keep money on your phone  </v>
      </c>
      <c r="C743" s="96" t="s">
        <v>927</v>
      </c>
      <c r="D743" s="54" t="s">
        <v>38</v>
      </c>
      <c r="E743" s="53">
        <v>1</v>
      </c>
      <c r="F743" s="53">
        <f t="shared" si="172"/>
        <v>1113</v>
      </c>
      <c r="G743" s="53">
        <f t="shared" si="173"/>
        <v>1113</v>
      </c>
      <c r="H743" s="14" t="s">
        <v>2390</v>
      </c>
      <c r="I743" s="97" t="str">
        <f t="shared" ref="I743:I748" si="184">LEFT(A743,4)&amp;"_"&amp;RIGHT(A743,1)</f>
        <v>MM42_1</v>
      </c>
    </row>
    <row r="744" spans="1:9" ht="63.75" x14ac:dyDescent="0.25">
      <c r="A744" s="54" t="s">
        <v>928</v>
      </c>
      <c r="B744" s="96" t="str">
        <f>A744&amp;".Tell me if you strongly agree, agree,disagree or strongly disagree with the following statements? "&amp;Other!V3</f>
        <v>MM42.2.Tell me if you strongly agree, agree,disagree or strongly disagree with the following statements? Mobile money allows you to get a loan</v>
      </c>
      <c r="C744" s="96" t="s">
        <v>927</v>
      </c>
      <c r="D744" s="54" t="s">
        <v>38</v>
      </c>
      <c r="E744" s="53">
        <v>1</v>
      </c>
      <c r="F744" s="53">
        <f t="shared" si="172"/>
        <v>1114</v>
      </c>
      <c r="G744" s="53">
        <f t="shared" si="173"/>
        <v>1114</v>
      </c>
      <c r="H744" s="14" t="s">
        <v>2390</v>
      </c>
      <c r="I744" s="97" t="str">
        <f t="shared" si="184"/>
        <v>MM42_2</v>
      </c>
    </row>
    <row r="745" spans="1:9" ht="63.75" x14ac:dyDescent="0.25">
      <c r="A745" s="54" t="s">
        <v>929</v>
      </c>
      <c r="B745" s="96" t="str">
        <f>A745&amp;".Tell me if you strongly agree, agree,disagree or strongly disagree with the following statements? "&amp;Other!V4</f>
        <v>MM42.3.Tell me if you strongly agree, agree,disagree or strongly disagree with the following statements? You can deposit and withdraw in cash using mobile money</v>
      </c>
      <c r="C745" s="96" t="s">
        <v>927</v>
      </c>
      <c r="D745" s="54" t="s">
        <v>38</v>
      </c>
      <c r="E745" s="53">
        <v>1</v>
      </c>
      <c r="F745" s="53">
        <f t="shared" si="172"/>
        <v>1115</v>
      </c>
      <c r="G745" s="53">
        <f t="shared" si="173"/>
        <v>1115</v>
      </c>
      <c r="H745" s="14" t="s">
        <v>2390</v>
      </c>
      <c r="I745" s="97" t="str">
        <f t="shared" si="184"/>
        <v>MM42_3</v>
      </c>
    </row>
    <row r="746" spans="1:9" ht="63.75" x14ac:dyDescent="0.25">
      <c r="A746" s="54" t="s">
        <v>930</v>
      </c>
      <c r="B746" s="96" t="str">
        <f>A746&amp;".Tell me if you strongly agree, agree,disagree or strongly disagree with the following statements? "&amp;Other!V5</f>
        <v>MM42.4.Tell me if you strongly agree, agree,disagree or strongly disagree with the following statements? You can send money to someone using mobile money</v>
      </c>
      <c r="C746" s="96" t="s">
        <v>927</v>
      </c>
      <c r="D746" s="54" t="s">
        <v>38</v>
      </c>
      <c r="E746" s="53">
        <v>1</v>
      </c>
      <c r="F746" s="53">
        <f t="shared" si="172"/>
        <v>1116</v>
      </c>
      <c r="G746" s="53">
        <f t="shared" si="173"/>
        <v>1116</v>
      </c>
      <c r="H746" s="14" t="s">
        <v>2390</v>
      </c>
      <c r="I746" s="97" t="str">
        <f t="shared" si="184"/>
        <v>MM42_4</v>
      </c>
    </row>
    <row r="747" spans="1:9" ht="63.75" x14ac:dyDescent="0.25">
      <c r="A747" s="54" t="s">
        <v>931</v>
      </c>
      <c r="B747" s="96" t="str">
        <f>A747&amp;".Tell me if you strongly agree, agree,disagree or strongly disagree with the following statements? "&amp;Other!V6</f>
        <v>MM42.5.Tell me if you strongly agree, agree,disagree or strongly disagree with the following statements? You can store/save money on a mobile phone</v>
      </c>
      <c r="C747" s="96" t="s">
        <v>927</v>
      </c>
      <c r="D747" s="54" t="s">
        <v>38</v>
      </c>
      <c r="E747" s="53">
        <v>1</v>
      </c>
      <c r="F747" s="53">
        <f t="shared" si="172"/>
        <v>1117</v>
      </c>
      <c r="G747" s="53">
        <f t="shared" si="173"/>
        <v>1117</v>
      </c>
      <c r="H747" s="14" t="s">
        <v>2390</v>
      </c>
      <c r="I747" s="97" t="str">
        <f t="shared" si="184"/>
        <v>MM42_5</v>
      </c>
    </row>
    <row r="748" spans="1:9" ht="63.75" x14ac:dyDescent="0.25">
      <c r="A748" s="54" t="s">
        <v>932</v>
      </c>
      <c r="B748" s="96" t="str">
        <f>A748&amp;".Tell me if you strongly agree, agree,disagree or strongly disagree with the following statements? "&amp;Other!V7</f>
        <v>MM42.6.Tell me if you strongly agree, agree,disagree or strongly disagree with the following statements? You can pay for goods and services through your mobile phone</v>
      </c>
      <c r="C748" s="96" t="s">
        <v>927</v>
      </c>
      <c r="D748" s="54" t="s">
        <v>38</v>
      </c>
      <c r="E748" s="53">
        <v>1</v>
      </c>
      <c r="F748" s="53">
        <f t="shared" si="172"/>
        <v>1118</v>
      </c>
      <c r="G748" s="53">
        <f t="shared" si="173"/>
        <v>1118</v>
      </c>
      <c r="H748" s="14" t="s">
        <v>2390</v>
      </c>
      <c r="I748" s="97" t="str">
        <f t="shared" si="184"/>
        <v>MM42_6</v>
      </c>
    </row>
    <row r="749" spans="1:9" s="3" customFormat="1" x14ac:dyDescent="0.25">
      <c r="A749" s="121" t="s">
        <v>933</v>
      </c>
      <c r="B749" s="122" t="s">
        <v>451</v>
      </c>
      <c r="C749" s="122" t="s">
        <v>451</v>
      </c>
      <c r="D749" s="122" t="s">
        <v>451</v>
      </c>
      <c r="E749" s="122" t="s">
        <v>451</v>
      </c>
      <c r="F749" s="122" t="s">
        <v>451</v>
      </c>
      <c r="G749" s="122" t="s">
        <v>451</v>
      </c>
      <c r="H749" s="122" t="s">
        <v>451</v>
      </c>
      <c r="I749" s="123" t="s">
        <v>451</v>
      </c>
    </row>
    <row r="750" spans="1:9" s="3" customFormat="1" x14ac:dyDescent="0.25">
      <c r="A750" s="51" t="s">
        <v>4</v>
      </c>
      <c r="B750" s="52" t="s">
        <v>5</v>
      </c>
      <c r="C750" s="52" t="s">
        <v>6</v>
      </c>
      <c r="D750" s="51" t="s">
        <v>7</v>
      </c>
      <c r="E750" s="52" t="s">
        <v>8</v>
      </c>
      <c r="F750" s="52" t="s">
        <v>9</v>
      </c>
      <c r="G750" s="52" t="s">
        <v>10</v>
      </c>
      <c r="H750" s="52" t="s">
        <v>11</v>
      </c>
      <c r="I750" s="51" t="s">
        <v>12</v>
      </c>
    </row>
    <row r="751" spans="1:9" s="3" customFormat="1" ht="25.5" x14ac:dyDescent="0.25">
      <c r="A751" s="53" t="s">
        <v>934</v>
      </c>
      <c r="B751" s="57" t="str">
        <f>A751&amp;".Have you ever heard about this product? "&amp;Other!W2</f>
        <v>MMP1.1.Have you ever heard about this product? Brizzi</v>
      </c>
      <c r="C751" s="57" t="s">
        <v>142</v>
      </c>
      <c r="D751" s="53" t="s">
        <v>38</v>
      </c>
      <c r="E751" s="53">
        <v>1</v>
      </c>
      <c r="F751" s="53">
        <f>G748+1</f>
        <v>1119</v>
      </c>
      <c r="G751" s="53">
        <f>G748+E751</f>
        <v>1119</v>
      </c>
      <c r="H751" s="55" t="s">
        <v>17</v>
      </c>
      <c r="I751" s="53" t="str">
        <f t="shared" ref="I751:I786" si="185">LEFT(A751,4)&amp;"_"&amp;RIGHT(A751,1)</f>
        <v>MMP1_1</v>
      </c>
    </row>
    <row r="752" spans="1:9" s="3" customFormat="1" ht="25.5" x14ac:dyDescent="0.25">
      <c r="A752" s="53" t="s">
        <v>935</v>
      </c>
      <c r="B752" s="57" t="str">
        <f>A752&amp;".Have you ever heard about this product? "&amp;Other!W3</f>
        <v>MMP1.2.Have you ever heard about this product? Doku</v>
      </c>
      <c r="C752" s="57" t="s">
        <v>142</v>
      </c>
      <c r="D752" s="53" t="s">
        <v>38</v>
      </c>
      <c r="E752" s="53">
        <v>1</v>
      </c>
      <c r="F752" s="53">
        <f>G751+1</f>
        <v>1120</v>
      </c>
      <c r="G752" s="53">
        <f>G751+E752</f>
        <v>1120</v>
      </c>
      <c r="H752" s="55" t="s">
        <v>17</v>
      </c>
      <c r="I752" s="53" t="str">
        <f t="shared" si="185"/>
        <v>MMP1_2</v>
      </c>
    </row>
    <row r="753" spans="1:9" s="3" customFormat="1" ht="25.5" x14ac:dyDescent="0.25">
      <c r="A753" s="53" t="s">
        <v>936</v>
      </c>
      <c r="B753" s="57" t="str">
        <f>A753&amp;".Have you ever heard about this product? "&amp;Other!W4</f>
        <v>MMP1.3.Have you ever heard about this product? E-Money/ E-Toll/ Indomaret Card</v>
      </c>
      <c r="C753" s="57" t="s">
        <v>142</v>
      </c>
      <c r="D753" s="53" t="s">
        <v>38</v>
      </c>
      <c r="E753" s="53">
        <v>1</v>
      </c>
      <c r="F753" s="53">
        <f>G752+1</f>
        <v>1121</v>
      </c>
      <c r="G753" s="53">
        <f>G752+E753</f>
        <v>1121</v>
      </c>
      <c r="H753" s="55" t="s">
        <v>17</v>
      </c>
      <c r="I753" s="53" t="str">
        <f t="shared" si="185"/>
        <v>MMP1_3</v>
      </c>
    </row>
    <row r="754" spans="1:9" s="3" customFormat="1" ht="25.5" x14ac:dyDescent="0.25">
      <c r="A754" s="53" t="s">
        <v>937</v>
      </c>
      <c r="B754" s="57" t="str">
        <f>A754&amp;".Have you ever heard about this product? "&amp;Other!W5</f>
        <v>MMP1.4.Have you ever heard about this product? Flazz</v>
      </c>
      <c r="C754" s="57" t="s">
        <v>142</v>
      </c>
      <c r="D754" s="53" t="s">
        <v>38</v>
      </c>
      <c r="E754" s="53">
        <v>1</v>
      </c>
      <c r="F754" s="53">
        <f t="shared" ref="F754:F757" si="186">G753+1</f>
        <v>1122</v>
      </c>
      <c r="G754" s="53">
        <f t="shared" ref="G754:G757" si="187">G753+E754</f>
        <v>1122</v>
      </c>
      <c r="H754" s="55" t="s">
        <v>17</v>
      </c>
      <c r="I754" s="53" t="str">
        <f t="shared" si="185"/>
        <v>MMP1_4</v>
      </c>
    </row>
    <row r="755" spans="1:9" s="3" customFormat="1" ht="25.5" x14ac:dyDescent="0.25">
      <c r="A755" s="53" t="s">
        <v>938</v>
      </c>
      <c r="B755" s="57" t="str">
        <f>A755&amp;".Have you ever heard about this product? "&amp;Other!W6</f>
        <v>MMP1.5.Have you ever heard about this product? Jak Card</v>
      </c>
      <c r="C755" s="57" t="s">
        <v>142</v>
      </c>
      <c r="D755" s="53" t="s">
        <v>38</v>
      </c>
      <c r="E755" s="53">
        <v>1</v>
      </c>
      <c r="F755" s="53">
        <f t="shared" si="186"/>
        <v>1123</v>
      </c>
      <c r="G755" s="53">
        <f t="shared" si="187"/>
        <v>1123</v>
      </c>
      <c r="H755" s="55" t="s">
        <v>17</v>
      </c>
      <c r="I755" s="53" t="str">
        <f t="shared" si="185"/>
        <v>MMP1_5</v>
      </c>
    </row>
    <row r="756" spans="1:9" s="3" customFormat="1" ht="25.5" x14ac:dyDescent="0.25">
      <c r="A756" s="53" t="s">
        <v>939</v>
      </c>
      <c r="B756" s="57" t="str">
        <f>A756&amp;".Have you ever heard about this product? "&amp;Other!W7</f>
        <v>MMP1.6.Have you ever heard about this product? Mega Cash</v>
      </c>
      <c r="C756" s="57" t="s">
        <v>142</v>
      </c>
      <c r="D756" s="53" t="s">
        <v>38</v>
      </c>
      <c r="E756" s="53">
        <v>1</v>
      </c>
      <c r="F756" s="53">
        <f t="shared" si="186"/>
        <v>1124</v>
      </c>
      <c r="G756" s="53">
        <f t="shared" si="187"/>
        <v>1124</v>
      </c>
      <c r="H756" s="55" t="s">
        <v>17</v>
      </c>
      <c r="I756" s="53" t="str">
        <f t="shared" si="185"/>
        <v>MMP1_6</v>
      </c>
    </row>
    <row r="757" spans="1:9" s="3" customFormat="1" ht="25.5" x14ac:dyDescent="0.25">
      <c r="A757" s="53" t="s">
        <v>940</v>
      </c>
      <c r="B757" s="57" t="str">
        <f>A757&amp;".Have you ever heard about this product? "&amp;Other!W8</f>
        <v>MMP1.7.Have you ever heard about this product? Mint</v>
      </c>
      <c r="C757" s="57" t="s">
        <v>142</v>
      </c>
      <c r="D757" s="53" t="s">
        <v>38</v>
      </c>
      <c r="E757" s="53">
        <v>1</v>
      </c>
      <c r="F757" s="53">
        <f t="shared" si="186"/>
        <v>1125</v>
      </c>
      <c r="G757" s="53">
        <f t="shared" si="187"/>
        <v>1125</v>
      </c>
      <c r="H757" s="55" t="s">
        <v>17</v>
      </c>
      <c r="I757" s="53" t="str">
        <f t="shared" si="185"/>
        <v>MMP1_7</v>
      </c>
    </row>
    <row r="758" spans="1:9" s="3" customFormat="1" ht="25.5" x14ac:dyDescent="0.25">
      <c r="A758" s="53" t="s">
        <v>941</v>
      </c>
      <c r="B758" s="57" t="str">
        <f>A758&amp;".Have you ever heard about this product? "&amp;Other!W9</f>
        <v>MMP1.8.Have you ever heard about this product? Nobu e-money</v>
      </c>
      <c r="C758" s="57" t="s">
        <v>142</v>
      </c>
      <c r="D758" s="53" t="s">
        <v>38</v>
      </c>
      <c r="E758" s="53">
        <v>1</v>
      </c>
      <c r="F758" s="53">
        <f t="shared" ref="F758:F791" si="188">G757+1</f>
        <v>1126</v>
      </c>
      <c r="G758" s="53">
        <f t="shared" ref="G758:G791" si="189">G757+E758</f>
        <v>1126</v>
      </c>
      <c r="H758" s="55" t="s">
        <v>17</v>
      </c>
      <c r="I758" s="53" t="str">
        <f t="shared" si="185"/>
        <v>MMP1_8</v>
      </c>
    </row>
    <row r="759" spans="1:9" s="3" customFormat="1" ht="25.5" x14ac:dyDescent="0.25">
      <c r="A759" s="53" t="s">
        <v>942</v>
      </c>
      <c r="B759" s="57" t="str">
        <f>A759&amp;".Have you ever heard about this product? "&amp;Other!W10</f>
        <v>MMP1.9.Have you ever heard about this product? TapCash</v>
      </c>
      <c r="C759" s="57" t="s">
        <v>142</v>
      </c>
      <c r="D759" s="53" t="s">
        <v>38</v>
      </c>
      <c r="E759" s="53">
        <v>1</v>
      </c>
      <c r="F759" s="53">
        <f t="shared" si="188"/>
        <v>1127</v>
      </c>
      <c r="G759" s="53">
        <f t="shared" si="189"/>
        <v>1127</v>
      </c>
      <c r="H759" s="55" t="s">
        <v>17</v>
      </c>
      <c r="I759" s="53" t="str">
        <f t="shared" si="185"/>
        <v>MMP1_9</v>
      </c>
    </row>
    <row r="760" spans="1:9" s="3" customFormat="1" ht="25.5" x14ac:dyDescent="0.25">
      <c r="A760" s="53" t="s">
        <v>943</v>
      </c>
      <c r="B760" s="57" t="str">
        <f>A760&amp;".Have you ever heard about this product? "&amp;Other!W11</f>
        <v>MMP1.10.Have you ever heard about this product? True Money</v>
      </c>
      <c r="C760" s="57" t="s">
        <v>142</v>
      </c>
      <c r="D760" s="53" t="s">
        <v>38</v>
      </c>
      <c r="E760" s="53">
        <v>1</v>
      </c>
      <c r="F760" s="53">
        <f t="shared" si="188"/>
        <v>1128</v>
      </c>
      <c r="G760" s="53">
        <f t="shared" si="189"/>
        <v>1128</v>
      </c>
      <c r="H760" s="55" t="s">
        <v>17</v>
      </c>
      <c r="I760" s="53" t="str">
        <f>LEFT(A760,4)&amp;"_"&amp;RIGHT(A760,2)</f>
        <v>MMP1_10</v>
      </c>
    </row>
    <row r="761" spans="1:9" s="3" customFormat="1" ht="25.5" x14ac:dyDescent="0.25">
      <c r="A761" s="53" t="s">
        <v>944</v>
      </c>
      <c r="B761" s="57" t="str">
        <f>A761&amp;".Have you ever heard about this product? "&amp;Other!W12</f>
        <v>MMP1.96.Have you ever heard about this product? Other (Specify)</v>
      </c>
      <c r="C761" s="57" t="s">
        <v>142</v>
      </c>
      <c r="D761" s="53" t="s">
        <v>38</v>
      </c>
      <c r="E761" s="53">
        <v>1</v>
      </c>
      <c r="F761" s="53">
        <f t="shared" si="188"/>
        <v>1129</v>
      </c>
      <c r="G761" s="53">
        <f t="shared" si="189"/>
        <v>1129</v>
      </c>
      <c r="H761" s="55" t="s">
        <v>17</v>
      </c>
      <c r="I761" s="53" t="str">
        <f>LEFT(A761,4)&amp;"_"&amp;RIGHT(A761,2)</f>
        <v>MMP1_96</v>
      </c>
    </row>
    <row r="762" spans="1:9" s="3" customFormat="1" ht="76.5" x14ac:dyDescent="0.25">
      <c r="A762" s="53" t="s">
        <v>945</v>
      </c>
      <c r="B762" s="57" t="str">
        <f>A762&amp;".When was the last time you used this mobile money product? "&amp;Other!W2</f>
        <v>MMP2.1.When was the last time you used this mobile money product? Brizzi</v>
      </c>
      <c r="C762" s="57" t="s">
        <v>625</v>
      </c>
      <c r="D762" s="53" t="s">
        <v>38</v>
      </c>
      <c r="E762" s="53">
        <v>1</v>
      </c>
      <c r="F762" s="53">
        <f t="shared" si="188"/>
        <v>1130</v>
      </c>
      <c r="G762" s="53">
        <f t="shared" si="189"/>
        <v>1130</v>
      </c>
      <c r="H762" s="14" t="str">
        <f>"IF "&amp;I751&amp;"=1"</f>
        <v>IF MMP1_1=1</v>
      </c>
      <c r="I762" s="53" t="str">
        <f t="shared" si="185"/>
        <v>MMP2_1</v>
      </c>
    </row>
    <row r="763" spans="1:9" s="3" customFormat="1" ht="76.5" x14ac:dyDescent="0.25">
      <c r="A763" s="53" t="s">
        <v>946</v>
      </c>
      <c r="B763" s="57" t="str">
        <f>A763&amp;".When was the last time you used this mobile money product? "&amp;Other!W3</f>
        <v>MMP2.2.When was the last time you used this mobile money product? Doku</v>
      </c>
      <c r="C763" s="57" t="s">
        <v>625</v>
      </c>
      <c r="D763" s="53" t="s">
        <v>38</v>
      </c>
      <c r="E763" s="53">
        <v>1</v>
      </c>
      <c r="F763" s="53">
        <f t="shared" si="188"/>
        <v>1131</v>
      </c>
      <c r="G763" s="53">
        <f t="shared" si="189"/>
        <v>1131</v>
      </c>
      <c r="H763" s="14" t="str">
        <f>"IF "&amp;I752&amp;"=1"</f>
        <v>IF MMP1_2=1</v>
      </c>
      <c r="I763" s="53" t="str">
        <f t="shared" si="185"/>
        <v>MMP2_2</v>
      </c>
    </row>
    <row r="764" spans="1:9" s="3" customFormat="1" ht="76.5" x14ac:dyDescent="0.25">
      <c r="A764" s="53" t="s">
        <v>947</v>
      </c>
      <c r="B764" s="57" t="str">
        <f>A764&amp;".When was the last time you used this mobile money product? "&amp;Other!W4</f>
        <v>MMP2.3.When was the last time you used this mobile money product? E-Money/ E-Toll/ Indomaret Card</v>
      </c>
      <c r="C764" s="57" t="s">
        <v>625</v>
      </c>
      <c r="D764" s="53" t="s">
        <v>38</v>
      </c>
      <c r="E764" s="53">
        <v>1</v>
      </c>
      <c r="F764" s="53">
        <f t="shared" si="188"/>
        <v>1132</v>
      </c>
      <c r="G764" s="53">
        <f t="shared" si="189"/>
        <v>1132</v>
      </c>
      <c r="H764" s="14" t="str">
        <f t="shared" ref="H764:H766" si="190">"IF "&amp;I753&amp;"=1"</f>
        <v>IF MMP1_3=1</v>
      </c>
      <c r="I764" s="53" t="str">
        <f t="shared" ref="I764:I770" si="191">LEFT(A764,4)&amp;"_"&amp;RIGHT(A764,1)</f>
        <v>MMP2_3</v>
      </c>
    </row>
    <row r="765" spans="1:9" s="3" customFormat="1" ht="76.5" x14ac:dyDescent="0.25">
      <c r="A765" s="53" t="s">
        <v>948</v>
      </c>
      <c r="B765" s="57" t="str">
        <f>A765&amp;".When was the last time you used this mobile money product? "&amp;Other!W5</f>
        <v>MMP2.4.When was the last time you used this mobile money product? Flazz</v>
      </c>
      <c r="C765" s="57" t="s">
        <v>625</v>
      </c>
      <c r="D765" s="53" t="s">
        <v>38</v>
      </c>
      <c r="E765" s="53">
        <v>1</v>
      </c>
      <c r="F765" s="53">
        <f t="shared" si="188"/>
        <v>1133</v>
      </c>
      <c r="G765" s="53">
        <f t="shared" si="189"/>
        <v>1133</v>
      </c>
      <c r="H765" s="14" t="str">
        <f t="shared" si="190"/>
        <v>IF MMP1_4=1</v>
      </c>
      <c r="I765" s="53" t="str">
        <f t="shared" si="191"/>
        <v>MMP2_4</v>
      </c>
    </row>
    <row r="766" spans="1:9" s="3" customFormat="1" ht="76.5" x14ac:dyDescent="0.25">
      <c r="A766" s="53" t="s">
        <v>949</v>
      </c>
      <c r="B766" s="57" t="str">
        <f>A766&amp;".When was the last time you used this mobile money product? "&amp;Other!W6</f>
        <v>MMP2.5.When was the last time you used this mobile money product? Jak Card</v>
      </c>
      <c r="C766" s="57" t="s">
        <v>625</v>
      </c>
      <c r="D766" s="53" t="s">
        <v>38</v>
      </c>
      <c r="E766" s="53">
        <v>1</v>
      </c>
      <c r="F766" s="53">
        <f t="shared" si="188"/>
        <v>1134</v>
      </c>
      <c r="G766" s="53">
        <f t="shared" si="189"/>
        <v>1134</v>
      </c>
      <c r="H766" s="14" t="str">
        <f t="shared" si="190"/>
        <v>IF MMP1_5=1</v>
      </c>
      <c r="I766" s="53" t="str">
        <f t="shared" si="191"/>
        <v>MMP2_5</v>
      </c>
    </row>
    <row r="767" spans="1:9" s="3" customFormat="1" ht="76.5" x14ac:dyDescent="0.25">
      <c r="A767" s="53" t="s">
        <v>950</v>
      </c>
      <c r="B767" s="57" t="str">
        <f>A767&amp;".When was the last time you used this mobile money product? "&amp;Other!W7</f>
        <v>MMP2.6.When was the last time you used this mobile money product? Mega Cash</v>
      </c>
      <c r="C767" s="57" t="s">
        <v>625</v>
      </c>
      <c r="D767" s="53" t="s">
        <v>38</v>
      </c>
      <c r="E767" s="53">
        <v>1</v>
      </c>
      <c r="F767" s="53">
        <f t="shared" si="188"/>
        <v>1135</v>
      </c>
      <c r="G767" s="53">
        <f t="shared" si="189"/>
        <v>1135</v>
      </c>
      <c r="H767" s="14" t="str">
        <f>"IF "&amp;I756&amp;"=1"</f>
        <v>IF MMP1_6=1</v>
      </c>
      <c r="I767" s="53" t="str">
        <f t="shared" si="191"/>
        <v>MMP2_6</v>
      </c>
    </row>
    <row r="768" spans="1:9" s="3" customFormat="1" ht="76.5" x14ac:dyDescent="0.25">
      <c r="A768" s="53" t="s">
        <v>951</v>
      </c>
      <c r="B768" s="57" t="str">
        <f>A768&amp;".When was the last time you used this mobile money product? "&amp;Other!W8</f>
        <v>MMP2.7.When was the last time you used this mobile money product? Mint</v>
      </c>
      <c r="C768" s="57" t="s">
        <v>625</v>
      </c>
      <c r="D768" s="53" t="s">
        <v>38</v>
      </c>
      <c r="E768" s="53">
        <v>1</v>
      </c>
      <c r="F768" s="53">
        <f t="shared" si="188"/>
        <v>1136</v>
      </c>
      <c r="G768" s="53">
        <f t="shared" si="189"/>
        <v>1136</v>
      </c>
      <c r="H768" s="14" t="str">
        <f>"IF "&amp;I757&amp;"=1"</f>
        <v>IF MMP1_7=1</v>
      </c>
      <c r="I768" s="53" t="str">
        <f t="shared" si="191"/>
        <v>MMP2_7</v>
      </c>
    </row>
    <row r="769" spans="1:9" s="3" customFormat="1" ht="76.5" x14ac:dyDescent="0.25">
      <c r="A769" s="53" t="s">
        <v>952</v>
      </c>
      <c r="B769" s="57" t="str">
        <f>A769&amp;".When was the last time you used this mobile money product? "&amp;Other!W9</f>
        <v>MMP2.8.When was the last time you used this mobile money product? Nobu e-money</v>
      </c>
      <c r="C769" s="57" t="s">
        <v>625</v>
      </c>
      <c r="D769" s="53" t="s">
        <v>38</v>
      </c>
      <c r="E769" s="53">
        <v>1</v>
      </c>
      <c r="F769" s="53">
        <f t="shared" si="188"/>
        <v>1137</v>
      </c>
      <c r="G769" s="53">
        <f t="shared" si="189"/>
        <v>1137</v>
      </c>
      <c r="H769" s="14" t="str">
        <f t="shared" ref="H769:H770" si="192">"IF "&amp;I758&amp;"=1"</f>
        <v>IF MMP1_8=1</v>
      </c>
      <c r="I769" s="53" t="str">
        <f t="shared" si="191"/>
        <v>MMP2_8</v>
      </c>
    </row>
    <row r="770" spans="1:9" s="3" customFormat="1" ht="76.5" x14ac:dyDescent="0.25">
      <c r="A770" s="53" t="s">
        <v>953</v>
      </c>
      <c r="B770" s="57" t="str">
        <f>A770&amp;".When was the last time you used this mobile money product? "&amp;Other!W10</f>
        <v>MMP2.9.When was the last time you used this mobile money product? TapCash</v>
      </c>
      <c r="C770" s="57" t="s">
        <v>625</v>
      </c>
      <c r="D770" s="53" t="s">
        <v>38</v>
      </c>
      <c r="E770" s="53">
        <v>1</v>
      </c>
      <c r="F770" s="53">
        <f t="shared" si="188"/>
        <v>1138</v>
      </c>
      <c r="G770" s="53">
        <f t="shared" si="189"/>
        <v>1138</v>
      </c>
      <c r="H770" s="14" t="str">
        <f t="shared" si="192"/>
        <v>IF MMP1_9=1</v>
      </c>
      <c r="I770" s="53" t="str">
        <f t="shared" si="191"/>
        <v>MMP2_9</v>
      </c>
    </row>
    <row r="771" spans="1:9" s="47" customFormat="1" ht="76.5" x14ac:dyDescent="0.25">
      <c r="A771" s="53" t="s">
        <v>954</v>
      </c>
      <c r="B771" s="57" t="str">
        <f>A771&amp;".When was the last time you used this mobile money product? "&amp;Other!W11</f>
        <v>MMP2.10.When was the last time you used this mobile money product? True Money</v>
      </c>
      <c r="C771" s="57" t="s">
        <v>625</v>
      </c>
      <c r="D771" s="53" t="s">
        <v>38</v>
      </c>
      <c r="E771" s="53">
        <v>1</v>
      </c>
      <c r="F771" s="53">
        <f t="shared" si="188"/>
        <v>1139</v>
      </c>
      <c r="G771" s="53">
        <f t="shared" si="189"/>
        <v>1139</v>
      </c>
      <c r="H771" s="14" t="str">
        <f>"IF "&amp;I760&amp;"=1"</f>
        <v>IF MMP1_10=1</v>
      </c>
      <c r="I771" s="53" t="str">
        <f>LEFT(A771,4)&amp;"_"&amp;RIGHT(A771,2)</f>
        <v>MMP2_10</v>
      </c>
    </row>
    <row r="772" spans="1:9" s="47" customFormat="1" ht="76.5" x14ac:dyDescent="0.25">
      <c r="A772" s="53" t="s">
        <v>955</v>
      </c>
      <c r="B772" s="57" t="str">
        <f>A772&amp;".When was the last time you used this mobile money product? "&amp;Other!W12</f>
        <v>MMP2.96.When was the last time you used this mobile money product? Other (Specify)</v>
      </c>
      <c r="C772" s="57" t="s">
        <v>625</v>
      </c>
      <c r="D772" s="53" t="s">
        <v>38</v>
      </c>
      <c r="E772" s="53">
        <v>1</v>
      </c>
      <c r="F772" s="53">
        <f t="shared" si="188"/>
        <v>1140</v>
      </c>
      <c r="G772" s="53">
        <f t="shared" si="189"/>
        <v>1140</v>
      </c>
      <c r="H772" s="14" t="str">
        <f>"IF "&amp;I761&amp;"=1"</f>
        <v>IF MMP1_96=1</v>
      </c>
      <c r="I772" s="53" t="str">
        <f>LEFT(A772,4)&amp;"_"&amp;RIGHT(A772,2)</f>
        <v>MMP2_96</v>
      </c>
    </row>
    <row r="773" spans="1:9" s="47" customFormat="1" ht="38.25" x14ac:dyDescent="0.25">
      <c r="A773" s="67" t="s">
        <v>956</v>
      </c>
      <c r="B773" s="68" t="str">
        <f>A773&amp;".Do you have a registered account with this product? "&amp;Other!W2</f>
        <v>MMP3.1.Do you have a registered account with this product? Brizzi</v>
      </c>
      <c r="C773" s="72" t="s">
        <v>442</v>
      </c>
      <c r="D773" s="94" t="s">
        <v>38</v>
      </c>
      <c r="E773" s="94">
        <v>2</v>
      </c>
      <c r="F773" s="53">
        <f t="shared" si="188"/>
        <v>1141</v>
      </c>
      <c r="G773" s="53">
        <f t="shared" si="189"/>
        <v>1142</v>
      </c>
      <c r="H773" s="92" t="str">
        <f>"IF "&amp;I751&amp;"=1"</f>
        <v>IF MMP1_1=1</v>
      </c>
      <c r="I773" s="94" t="str">
        <f t="shared" si="185"/>
        <v>MMP3_1</v>
      </c>
    </row>
    <row r="774" spans="1:9" s="47" customFormat="1" ht="38.25" x14ac:dyDescent="0.25">
      <c r="A774" s="67" t="s">
        <v>957</v>
      </c>
      <c r="B774" s="68" t="str">
        <f>A774&amp;".Do you have a registered account with this product? "&amp;Other!W3</f>
        <v>MMP3.2.Do you have a registered account with this product? Doku</v>
      </c>
      <c r="C774" s="72" t="s">
        <v>442</v>
      </c>
      <c r="D774" s="94" t="s">
        <v>38</v>
      </c>
      <c r="E774" s="94">
        <v>2</v>
      </c>
      <c r="F774" s="53">
        <f t="shared" si="188"/>
        <v>1143</v>
      </c>
      <c r="G774" s="53">
        <f t="shared" si="189"/>
        <v>1144</v>
      </c>
      <c r="H774" s="92" t="str">
        <f t="shared" ref="H774:H783" si="193">"IF "&amp;I752&amp;"=1"</f>
        <v>IF MMP1_2=1</v>
      </c>
      <c r="I774" s="94" t="str">
        <f t="shared" si="185"/>
        <v>MMP3_2</v>
      </c>
    </row>
    <row r="775" spans="1:9" s="47" customFormat="1" ht="38.25" x14ac:dyDescent="0.25">
      <c r="A775" s="67" t="s">
        <v>958</v>
      </c>
      <c r="B775" s="68" t="str">
        <f>A775&amp;".Do you have a registered account with this product? "&amp;Other!W4</f>
        <v>MMP3.3.Do you have a registered account with this product? E-Money/ E-Toll/ Indomaret Card</v>
      </c>
      <c r="C775" s="72" t="s">
        <v>442</v>
      </c>
      <c r="D775" s="94" t="s">
        <v>38</v>
      </c>
      <c r="E775" s="94">
        <v>2</v>
      </c>
      <c r="F775" s="53">
        <f t="shared" si="188"/>
        <v>1145</v>
      </c>
      <c r="G775" s="53">
        <f t="shared" si="189"/>
        <v>1146</v>
      </c>
      <c r="H775" s="92" t="str">
        <f t="shared" si="193"/>
        <v>IF MMP1_3=1</v>
      </c>
      <c r="I775" s="94" t="str">
        <f t="shared" ref="I775:I781" si="194">LEFT(A775,4)&amp;"_"&amp;RIGHT(A775,1)</f>
        <v>MMP3_3</v>
      </c>
    </row>
    <row r="776" spans="1:9" s="47" customFormat="1" ht="38.25" x14ac:dyDescent="0.25">
      <c r="A776" s="67" t="s">
        <v>959</v>
      </c>
      <c r="B776" s="68" t="str">
        <f>A776&amp;".Do you have a registered account with this product? "&amp;Other!W5</f>
        <v>MMP3.4.Do you have a registered account with this product? Flazz</v>
      </c>
      <c r="C776" s="72" t="s">
        <v>442</v>
      </c>
      <c r="D776" s="94" t="s">
        <v>38</v>
      </c>
      <c r="E776" s="94">
        <v>2</v>
      </c>
      <c r="F776" s="53">
        <f t="shared" si="188"/>
        <v>1147</v>
      </c>
      <c r="G776" s="53">
        <f t="shared" si="189"/>
        <v>1148</v>
      </c>
      <c r="H776" s="92" t="str">
        <f t="shared" si="193"/>
        <v>IF MMP1_4=1</v>
      </c>
      <c r="I776" s="94" t="str">
        <f t="shared" si="194"/>
        <v>MMP3_4</v>
      </c>
    </row>
    <row r="777" spans="1:9" s="47" customFormat="1" ht="38.25" x14ac:dyDescent="0.25">
      <c r="A777" s="67" t="s">
        <v>960</v>
      </c>
      <c r="B777" s="68" t="str">
        <f>A777&amp;".Do you have a registered account with this product? "&amp;Other!W6</f>
        <v>MMP3.5.Do you have a registered account with this product? Jak Card</v>
      </c>
      <c r="C777" s="72" t="s">
        <v>442</v>
      </c>
      <c r="D777" s="94" t="s">
        <v>38</v>
      </c>
      <c r="E777" s="94">
        <v>2</v>
      </c>
      <c r="F777" s="53">
        <f t="shared" si="188"/>
        <v>1149</v>
      </c>
      <c r="G777" s="53">
        <f t="shared" si="189"/>
        <v>1150</v>
      </c>
      <c r="H777" s="92" t="str">
        <f t="shared" si="193"/>
        <v>IF MMP1_5=1</v>
      </c>
      <c r="I777" s="94" t="str">
        <f t="shared" si="194"/>
        <v>MMP3_5</v>
      </c>
    </row>
    <row r="778" spans="1:9" s="47" customFormat="1" ht="38.25" x14ac:dyDescent="0.25">
      <c r="A778" s="67" t="s">
        <v>961</v>
      </c>
      <c r="B778" s="68" t="str">
        <f>A778&amp;".Do you have a registered account with this product? "&amp;Other!W7</f>
        <v>MMP3.6.Do you have a registered account with this product? Mega Cash</v>
      </c>
      <c r="C778" s="72" t="s">
        <v>442</v>
      </c>
      <c r="D778" s="94" t="s">
        <v>38</v>
      </c>
      <c r="E778" s="94">
        <v>2</v>
      </c>
      <c r="F778" s="53">
        <f t="shared" si="188"/>
        <v>1151</v>
      </c>
      <c r="G778" s="53">
        <f t="shared" si="189"/>
        <v>1152</v>
      </c>
      <c r="H778" s="92" t="str">
        <f t="shared" si="193"/>
        <v>IF MMP1_6=1</v>
      </c>
      <c r="I778" s="94" t="str">
        <f t="shared" si="194"/>
        <v>MMP3_6</v>
      </c>
    </row>
    <row r="779" spans="1:9" s="47" customFormat="1" ht="38.25" x14ac:dyDescent="0.25">
      <c r="A779" s="67" t="s">
        <v>962</v>
      </c>
      <c r="B779" s="68" t="str">
        <f>A779&amp;".Do you have a registered account with this product? "&amp;Other!W8</f>
        <v>MMP3.7.Do you have a registered account with this product? Mint</v>
      </c>
      <c r="C779" s="72" t="s">
        <v>442</v>
      </c>
      <c r="D779" s="94" t="s">
        <v>38</v>
      </c>
      <c r="E779" s="94">
        <v>2</v>
      </c>
      <c r="F779" s="53">
        <f t="shared" si="188"/>
        <v>1153</v>
      </c>
      <c r="G779" s="53">
        <f t="shared" si="189"/>
        <v>1154</v>
      </c>
      <c r="H779" s="92" t="str">
        <f t="shared" si="193"/>
        <v>IF MMP1_7=1</v>
      </c>
      <c r="I779" s="94" t="str">
        <f t="shared" si="194"/>
        <v>MMP3_7</v>
      </c>
    </row>
    <row r="780" spans="1:9" s="47" customFormat="1" ht="38.25" x14ac:dyDescent="0.25">
      <c r="A780" s="67" t="s">
        <v>963</v>
      </c>
      <c r="B780" s="68" t="str">
        <f>A780&amp;".Do you have a registered account with this product? "&amp;Other!W9</f>
        <v>MMP3.8.Do you have a registered account with this product? Nobu e-money</v>
      </c>
      <c r="C780" s="72" t="s">
        <v>442</v>
      </c>
      <c r="D780" s="94" t="s">
        <v>38</v>
      </c>
      <c r="E780" s="94">
        <v>2</v>
      </c>
      <c r="F780" s="53">
        <f t="shared" si="188"/>
        <v>1155</v>
      </c>
      <c r="G780" s="53">
        <f t="shared" si="189"/>
        <v>1156</v>
      </c>
      <c r="H780" s="92" t="str">
        <f t="shared" si="193"/>
        <v>IF MMP1_8=1</v>
      </c>
      <c r="I780" s="94" t="str">
        <f t="shared" si="194"/>
        <v>MMP3_8</v>
      </c>
    </row>
    <row r="781" spans="1:9" s="47" customFormat="1" ht="38.25" x14ac:dyDescent="0.25">
      <c r="A781" s="67" t="s">
        <v>964</v>
      </c>
      <c r="B781" s="68" t="str">
        <f>A781&amp;".Do you have a registered account with this product? "&amp;Other!W10</f>
        <v>MMP3.9.Do you have a registered account with this product? TapCash</v>
      </c>
      <c r="C781" s="72" t="s">
        <v>442</v>
      </c>
      <c r="D781" s="94" t="s">
        <v>38</v>
      </c>
      <c r="E781" s="94">
        <v>2</v>
      </c>
      <c r="F781" s="53">
        <f t="shared" si="188"/>
        <v>1157</v>
      </c>
      <c r="G781" s="53">
        <f t="shared" si="189"/>
        <v>1158</v>
      </c>
      <c r="H781" s="92" t="str">
        <f t="shared" si="193"/>
        <v>IF MMP1_9=1</v>
      </c>
      <c r="I781" s="94" t="str">
        <f t="shared" si="194"/>
        <v>MMP3_9</v>
      </c>
    </row>
    <row r="782" spans="1:9" s="3" customFormat="1" ht="38.25" x14ac:dyDescent="0.25">
      <c r="A782" s="67" t="s">
        <v>965</v>
      </c>
      <c r="B782" s="68" t="str">
        <f>A782&amp;".Do you have a registered account with this product? "&amp;Other!W11</f>
        <v>MMP3.10.Do you have a registered account with this product? True Money</v>
      </c>
      <c r="C782" s="72" t="s">
        <v>442</v>
      </c>
      <c r="D782" s="94" t="s">
        <v>38</v>
      </c>
      <c r="E782" s="94">
        <v>2</v>
      </c>
      <c r="F782" s="53">
        <f t="shared" si="188"/>
        <v>1159</v>
      </c>
      <c r="G782" s="53">
        <f t="shared" si="189"/>
        <v>1160</v>
      </c>
      <c r="H782" s="92" t="str">
        <f t="shared" si="193"/>
        <v>IF MMP1_10=1</v>
      </c>
      <c r="I782" s="94" t="str">
        <f>LEFT(A782,4)&amp;"_"&amp;RIGHT(A782,2)</f>
        <v>MMP3_10</v>
      </c>
    </row>
    <row r="783" spans="1:9" s="3" customFormat="1" ht="38.25" x14ac:dyDescent="0.25">
      <c r="A783" s="67" t="s">
        <v>966</v>
      </c>
      <c r="B783" s="68" t="str">
        <f>A783&amp;".Do you have a registered account with this product? "&amp;Other!W12</f>
        <v>MMP3.96.Do you have a registered account with this product? Other (Specify)</v>
      </c>
      <c r="C783" s="72" t="s">
        <v>442</v>
      </c>
      <c r="D783" s="94" t="s">
        <v>38</v>
      </c>
      <c r="E783" s="94">
        <v>2</v>
      </c>
      <c r="F783" s="53">
        <f t="shared" si="188"/>
        <v>1161</v>
      </c>
      <c r="G783" s="53">
        <f t="shared" si="189"/>
        <v>1162</v>
      </c>
      <c r="H783" s="92" t="str">
        <f t="shared" si="193"/>
        <v>IF MMP1_96=1</v>
      </c>
      <c r="I783" s="94" t="str">
        <f>LEFT(A783,4)&amp;"_"&amp;RIGHT(A783,2)</f>
        <v>MMP3_96</v>
      </c>
    </row>
    <row r="784" spans="1:9" s="3" customFormat="1" ht="76.5" x14ac:dyDescent="0.25">
      <c r="A784" s="99" t="s">
        <v>967</v>
      </c>
      <c r="B784" s="78" t="str">
        <f>A784&amp;".When was the last time you used your registered account with this product? "&amp;Other!W2</f>
        <v>MMP4.1.When was the last time you used your registered account with this product? Brizzi</v>
      </c>
      <c r="C784" s="78" t="s">
        <v>968</v>
      </c>
      <c r="D784" s="99" t="s">
        <v>38</v>
      </c>
      <c r="E784" s="99">
        <v>1</v>
      </c>
      <c r="F784" s="53">
        <f t="shared" si="188"/>
        <v>1163</v>
      </c>
      <c r="G784" s="53">
        <f t="shared" si="189"/>
        <v>1163</v>
      </c>
      <c r="H784" s="100" t="str">
        <f>"IF "&amp;I773&amp;"=1"</f>
        <v>IF MMP3_1=1</v>
      </c>
      <c r="I784" s="99" t="str">
        <f t="shared" si="185"/>
        <v>MMP4_1</v>
      </c>
    </row>
    <row r="785" spans="1:9" s="3" customFormat="1" ht="76.5" x14ac:dyDescent="0.25">
      <c r="A785" s="53" t="s">
        <v>969</v>
      </c>
      <c r="B785" s="57" t="str">
        <f>A785&amp;".When was the last time you used your registered account with this product? "&amp;Other!W3</f>
        <v>MMP4.2.When was the last time you used your registered account with this product? Doku</v>
      </c>
      <c r="C785" s="57" t="s">
        <v>968</v>
      </c>
      <c r="D785" s="53" t="s">
        <v>38</v>
      </c>
      <c r="E785" s="53">
        <v>1</v>
      </c>
      <c r="F785" s="53">
        <f t="shared" si="188"/>
        <v>1164</v>
      </c>
      <c r="G785" s="53">
        <f t="shared" si="189"/>
        <v>1164</v>
      </c>
      <c r="H785" s="14" t="str">
        <f>"IF "&amp;I774&amp;"=1"</f>
        <v>IF MMP3_2=1</v>
      </c>
      <c r="I785" s="53" t="str">
        <f t="shared" si="185"/>
        <v>MMP4_2</v>
      </c>
    </row>
    <row r="786" spans="1:9" s="3" customFormat="1" ht="76.5" x14ac:dyDescent="0.25">
      <c r="A786" s="53" t="s">
        <v>970</v>
      </c>
      <c r="B786" s="57" t="str">
        <f>A786&amp;".When was the last time you used your registered account with this product? "&amp;Other!W4</f>
        <v>MMP4.3.When was the last time you used your registered account with this product? E-Money/ E-Toll/ Indomaret Card</v>
      </c>
      <c r="C786" s="57" t="s">
        <v>968</v>
      </c>
      <c r="D786" s="53" t="s">
        <v>38</v>
      </c>
      <c r="E786" s="53">
        <v>1</v>
      </c>
      <c r="F786" s="53">
        <f t="shared" si="188"/>
        <v>1165</v>
      </c>
      <c r="G786" s="53">
        <f t="shared" si="189"/>
        <v>1165</v>
      </c>
      <c r="H786" s="14" t="str">
        <f>"IF "&amp;I775&amp;"=1"</f>
        <v>IF MMP3_3=1</v>
      </c>
      <c r="I786" s="53" t="str">
        <f t="shared" si="185"/>
        <v>MMP4_3</v>
      </c>
    </row>
    <row r="787" spans="1:9" s="3" customFormat="1" ht="76.5" x14ac:dyDescent="0.25">
      <c r="A787" s="53" t="s">
        <v>971</v>
      </c>
      <c r="B787" s="78" t="str">
        <f>A787&amp;".When was the last time you used your registered account with this product? "&amp;Other!W5</f>
        <v>MMP4.4.When was the last time you used your registered account with this product? Flazz</v>
      </c>
      <c r="C787" s="78" t="s">
        <v>968</v>
      </c>
      <c r="D787" s="99" t="s">
        <v>38</v>
      </c>
      <c r="E787" s="99">
        <v>1</v>
      </c>
      <c r="F787" s="53">
        <f t="shared" si="188"/>
        <v>1166</v>
      </c>
      <c r="G787" s="53">
        <f t="shared" si="189"/>
        <v>1166</v>
      </c>
      <c r="H787" s="100" t="str">
        <f t="shared" ref="H787:H789" si="195">"IF "&amp;I776&amp;"=1"</f>
        <v>IF MMP3_4=1</v>
      </c>
      <c r="I787" s="99" t="str">
        <f t="shared" ref="I787:I792" si="196">LEFT(A787,4)&amp;"_"&amp;RIGHT(A787,1)</f>
        <v>MMP4_4</v>
      </c>
    </row>
    <row r="788" spans="1:9" s="3" customFormat="1" ht="76.5" x14ac:dyDescent="0.25">
      <c r="A788" s="53" t="s">
        <v>972</v>
      </c>
      <c r="B788" s="57" t="str">
        <f>A788&amp;".When was the last time you used your registered account with this product? "&amp;Other!W6</f>
        <v>MMP4.5.When was the last time you used your registered account with this product? Jak Card</v>
      </c>
      <c r="C788" s="57" t="s">
        <v>968</v>
      </c>
      <c r="D788" s="53" t="s">
        <v>38</v>
      </c>
      <c r="E788" s="53">
        <v>1</v>
      </c>
      <c r="F788" s="53">
        <f t="shared" si="188"/>
        <v>1167</v>
      </c>
      <c r="G788" s="53">
        <f t="shared" si="189"/>
        <v>1167</v>
      </c>
      <c r="H788" s="14" t="str">
        <f t="shared" si="195"/>
        <v>IF MMP3_5=1</v>
      </c>
      <c r="I788" s="53" t="str">
        <f t="shared" si="196"/>
        <v>MMP4_5</v>
      </c>
    </row>
    <row r="789" spans="1:9" s="3" customFormat="1" ht="76.5" x14ac:dyDescent="0.25">
      <c r="A789" s="53" t="s">
        <v>973</v>
      </c>
      <c r="B789" s="57" t="str">
        <f>A789&amp;".When was the last time you used your registered account with this product? "&amp;Other!W7</f>
        <v>MMP4.6.When was the last time you used your registered account with this product? Mega Cash</v>
      </c>
      <c r="C789" s="57" t="s">
        <v>968</v>
      </c>
      <c r="D789" s="53" t="s">
        <v>38</v>
      </c>
      <c r="E789" s="53">
        <v>1</v>
      </c>
      <c r="F789" s="53">
        <f t="shared" si="188"/>
        <v>1168</v>
      </c>
      <c r="G789" s="53">
        <f t="shared" si="189"/>
        <v>1168</v>
      </c>
      <c r="H789" s="14" t="str">
        <f t="shared" si="195"/>
        <v>IF MMP3_6=1</v>
      </c>
      <c r="I789" s="53" t="str">
        <f t="shared" si="196"/>
        <v>MMP4_6</v>
      </c>
    </row>
    <row r="790" spans="1:9" s="3" customFormat="1" ht="76.5" x14ac:dyDescent="0.25">
      <c r="A790" s="53" t="s">
        <v>974</v>
      </c>
      <c r="B790" s="78" t="str">
        <f>A790&amp;".When was the last time you used your registered account with this product? "&amp;Other!W8</f>
        <v>MMP4.7.When was the last time you used your registered account with this product? Mint</v>
      </c>
      <c r="C790" s="78" t="s">
        <v>968</v>
      </c>
      <c r="D790" s="99" t="s">
        <v>38</v>
      </c>
      <c r="E790" s="99">
        <v>1</v>
      </c>
      <c r="F790" s="53">
        <f t="shared" si="188"/>
        <v>1169</v>
      </c>
      <c r="G790" s="53">
        <f t="shared" si="189"/>
        <v>1169</v>
      </c>
      <c r="H790" s="100" t="str">
        <f t="shared" ref="H790:H792" si="197">"IF "&amp;I779&amp;"=1"</f>
        <v>IF MMP3_7=1</v>
      </c>
      <c r="I790" s="99" t="str">
        <f t="shared" si="196"/>
        <v>MMP4_7</v>
      </c>
    </row>
    <row r="791" spans="1:9" s="3" customFormat="1" ht="76.5" x14ac:dyDescent="0.25">
      <c r="A791" s="53" t="s">
        <v>975</v>
      </c>
      <c r="B791" s="57" t="str">
        <f>A791&amp;".When was the last time you used your registered account with this product? "&amp;Other!W9</f>
        <v>MMP4.8.When was the last time you used your registered account with this product? Nobu e-money</v>
      </c>
      <c r="C791" s="57" t="s">
        <v>968</v>
      </c>
      <c r="D791" s="53" t="s">
        <v>38</v>
      </c>
      <c r="E791" s="53">
        <v>1</v>
      </c>
      <c r="F791" s="53">
        <f t="shared" si="188"/>
        <v>1170</v>
      </c>
      <c r="G791" s="53">
        <f t="shared" si="189"/>
        <v>1170</v>
      </c>
      <c r="H791" s="14" t="str">
        <f t="shared" si="197"/>
        <v>IF MMP3_8=1</v>
      </c>
      <c r="I791" s="53" t="str">
        <f t="shared" si="196"/>
        <v>MMP4_8</v>
      </c>
    </row>
    <row r="792" spans="1:9" s="3" customFormat="1" ht="76.5" x14ac:dyDescent="0.25">
      <c r="A792" s="53" t="s">
        <v>976</v>
      </c>
      <c r="B792" s="57" t="str">
        <f>A792&amp;".When was the last time you used your registered account with this product? "&amp;Other!W10</f>
        <v>MMP4.9.When was the last time you used your registered account with this product? TapCash</v>
      </c>
      <c r="C792" s="57" t="s">
        <v>968</v>
      </c>
      <c r="D792" s="53" t="s">
        <v>38</v>
      </c>
      <c r="E792" s="53">
        <v>1</v>
      </c>
      <c r="F792" s="53">
        <f t="shared" ref="F792:F794" si="198">G791+1</f>
        <v>1171</v>
      </c>
      <c r="G792" s="53">
        <f t="shared" ref="G792:G794" si="199">G791+E792</f>
        <v>1171</v>
      </c>
      <c r="H792" s="14" t="str">
        <f t="shared" si="197"/>
        <v>IF MMP3_9=1</v>
      </c>
      <c r="I792" s="53" t="str">
        <f t="shared" si="196"/>
        <v>MMP4_9</v>
      </c>
    </row>
    <row r="793" spans="1:9" ht="76.5" x14ac:dyDescent="0.25">
      <c r="A793" s="53" t="s">
        <v>977</v>
      </c>
      <c r="B793" s="78" t="str">
        <f>A793&amp;".When was the last time you used your registered account with this product? "&amp;Other!W11</f>
        <v>MMP4.10.When was the last time you used your registered account with this product? True Money</v>
      </c>
      <c r="C793" s="78" t="s">
        <v>968</v>
      </c>
      <c r="D793" s="99" t="s">
        <v>38</v>
      </c>
      <c r="E793" s="99">
        <v>1</v>
      </c>
      <c r="F793" s="99">
        <f t="shared" si="198"/>
        <v>1172</v>
      </c>
      <c r="G793" s="99">
        <f t="shared" si="199"/>
        <v>1172</v>
      </c>
      <c r="H793" s="100" t="str">
        <f t="shared" ref="H793:H794" si="200">"IF "&amp;I782&amp;"=1"</f>
        <v>IF MMP3_10=1</v>
      </c>
      <c r="I793" s="99" t="str">
        <f>LEFT(A793,4)&amp;"_"&amp;RIGHT(A793,2)</f>
        <v>MMP4_10</v>
      </c>
    </row>
    <row r="794" spans="1:9" ht="76.5" x14ac:dyDescent="0.25">
      <c r="A794" s="53" t="s">
        <v>978</v>
      </c>
      <c r="B794" s="57" t="str">
        <f>A794&amp;".When was the last time you used your registered account with this product? "&amp;Other!W12</f>
        <v>MMP4.96.When was the last time you used your registered account with this product? Other (Specify)</v>
      </c>
      <c r="C794" s="57" t="s">
        <v>968</v>
      </c>
      <c r="D794" s="53" t="s">
        <v>38</v>
      </c>
      <c r="E794" s="53">
        <v>1</v>
      </c>
      <c r="F794" s="53">
        <f t="shared" si="198"/>
        <v>1173</v>
      </c>
      <c r="G794" s="53">
        <f t="shared" si="199"/>
        <v>1173</v>
      </c>
      <c r="H794" s="14" t="str">
        <f t="shared" si="200"/>
        <v>IF MMP3_96=1</v>
      </c>
      <c r="I794" s="53" t="str">
        <f>LEFT(A794,4)&amp;"_"&amp;RIGHT(A794,2)</f>
        <v>MMP4_96</v>
      </c>
    </row>
    <row r="795" spans="1:9" x14ac:dyDescent="0.25">
      <c r="A795" s="121" t="s">
        <v>979</v>
      </c>
      <c r="B795" s="122" t="s">
        <v>451</v>
      </c>
      <c r="C795" s="122" t="s">
        <v>451</v>
      </c>
      <c r="D795" s="122" t="s">
        <v>451</v>
      </c>
      <c r="E795" s="122" t="s">
        <v>451</v>
      </c>
      <c r="F795" s="122" t="s">
        <v>451</v>
      </c>
      <c r="G795" s="122" t="s">
        <v>451</v>
      </c>
      <c r="H795" s="122" t="s">
        <v>451</v>
      </c>
      <c r="I795" s="123" t="s">
        <v>451</v>
      </c>
    </row>
    <row r="796" spans="1:9" x14ac:dyDescent="0.25">
      <c r="A796" s="121" t="s">
        <v>980</v>
      </c>
      <c r="B796" s="122"/>
      <c r="C796" s="122"/>
      <c r="D796" s="122"/>
      <c r="E796" s="122"/>
      <c r="F796" s="122"/>
      <c r="G796" s="122"/>
      <c r="H796" s="122"/>
      <c r="I796" s="123"/>
    </row>
    <row r="797" spans="1:9" x14ac:dyDescent="0.25">
      <c r="A797" s="51" t="s">
        <v>4</v>
      </c>
      <c r="B797" s="52" t="s">
        <v>5</v>
      </c>
      <c r="C797" s="52" t="s">
        <v>6</v>
      </c>
      <c r="D797" s="51" t="s">
        <v>7</v>
      </c>
      <c r="E797" s="52" t="s">
        <v>8</v>
      </c>
      <c r="F797" s="52" t="s">
        <v>9</v>
      </c>
      <c r="G797" s="52" t="s">
        <v>10</v>
      </c>
      <c r="H797" s="52" t="s">
        <v>11</v>
      </c>
      <c r="I797" s="51" t="s">
        <v>12</v>
      </c>
    </row>
    <row r="798" spans="1:9" ht="25.5" x14ac:dyDescent="0.25">
      <c r="A798" s="53" t="s">
        <v>981</v>
      </c>
      <c r="B798" s="96" t="str">
        <f>A798&amp; ". Have you ever used any of the following? " &amp;Other!X2</f>
        <v>IFI1.1. Have you ever used any of the following? Bank Perkreditan Rakyat (BPR)</v>
      </c>
      <c r="C798" s="96" t="s">
        <v>142</v>
      </c>
      <c r="D798" s="54" t="s">
        <v>38</v>
      </c>
      <c r="E798" s="53">
        <v>1</v>
      </c>
      <c r="F798" s="53">
        <f>G794+1</f>
        <v>1174</v>
      </c>
      <c r="G798" s="53">
        <f>G794+E798</f>
        <v>1174</v>
      </c>
      <c r="H798" s="10" t="s">
        <v>17</v>
      </c>
      <c r="I798" s="97" t="str">
        <f t="shared" ref="I798:I821" si="201">LEFT(A798,4) &amp; "_" &amp;RIGHT(A798,1)</f>
        <v>IFI1_1</v>
      </c>
    </row>
    <row r="799" spans="1:9" ht="113.25" customHeight="1" x14ac:dyDescent="0.25">
      <c r="A799" s="53" t="s">
        <v>982</v>
      </c>
      <c r="B799" s="96" t="str">
        <f>A799 &amp;". Apart from today when was the last time you used this financial service for any financial activity? "&amp;Other!X2</f>
        <v>IFI2.1. Apart from today when was the last time you used this financial service for any financial activity? Bank Perkreditan Rakyat (BPR)</v>
      </c>
      <c r="C799" s="96" t="s">
        <v>2402</v>
      </c>
      <c r="D799" s="54" t="s">
        <v>38</v>
      </c>
      <c r="E799" s="53">
        <v>1</v>
      </c>
      <c r="F799" s="101">
        <f>G798+1</f>
        <v>1175</v>
      </c>
      <c r="G799" s="101">
        <f>G798+E799</f>
        <v>1175</v>
      </c>
      <c r="H799" s="10" t="s">
        <v>983</v>
      </c>
      <c r="I799" s="97" t="str">
        <f t="shared" si="201"/>
        <v>IFI2_1</v>
      </c>
    </row>
    <row r="800" spans="1:9" ht="25.5" x14ac:dyDescent="0.25">
      <c r="A800" s="53" t="s">
        <v>984</v>
      </c>
      <c r="B800" s="96" t="str">
        <f>A800&amp;". Do you have an account/membership in your name with any of the following? "&amp;Other!X2</f>
        <v>IFI3.1. Do you have an account/membership in your name with any of the following? Bank Perkreditan Rakyat (BPR)</v>
      </c>
      <c r="C800" s="96" t="s">
        <v>142</v>
      </c>
      <c r="D800" s="54" t="s">
        <v>38</v>
      </c>
      <c r="E800" s="53">
        <v>1</v>
      </c>
      <c r="F800" s="101">
        <f t="shared" ref="F800:F865" si="202">G799+1</f>
        <v>1176</v>
      </c>
      <c r="G800" s="101">
        <f t="shared" ref="G800:G865" si="203">G799+E800</f>
        <v>1176</v>
      </c>
      <c r="H800" s="10" t="s">
        <v>17</v>
      </c>
      <c r="I800" s="97" t="str">
        <f t="shared" si="201"/>
        <v>IFI3_1</v>
      </c>
    </row>
    <row r="801" spans="1:9" ht="76.5" x14ac:dyDescent="0.25">
      <c r="A801" s="53" t="s">
        <v>985</v>
      </c>
      <c r="B801" s="96" t="str">
        <f>A801&amp;" .Apart from today, when was the last time you used the account/membership that is in your name for this service? "&amp;Other!X2</f>
        <v>IFI4.1 .Apart from today, when was the last time you used the account/membership that is in your name for this service? Bank Perkreditan Rakyat (BPR)</v>
      </c>
      <c r="C801" s="96" t="s">
        <v>2402</v>
      </c>
      <c r="D801" s="54" t="s">
        <v>38</v>
      </c>
      <c r="E801" s="53">
        <v>1</v>
      </c>
      <c r="F801" s="101">
        <f t="shared" si="202"/>
        <v>1177</v>
      </c>
      <c r="G801" s="101">
        <f t="shared" si="203"/>
        <v>1177</v>
      </c>
      <c r="H801" s="10" t="s">
        <v>986</v>
      </c>
      <c r="I801" s="97" t="str">
        <f t="shared" si="201"/>
        <v>IFI4_1</v>
      </c>
    </row>
    <row r="802" spans="1:9" ht="25.5" x14ac:dyDescent="0.25">
      <c r="A802" s="53" t="s">
        <v>987</v>
      </c>
      <c r="B802" s="96" t="str">
        <f>A802&amp; ". Have you ever used any of the following? " &amp;Other!X3</f>
        <v>IFI1.2. Have you ever used any of the following? Cooperative (BMT, Credit Union, KSP) / Ventura</v>
      </c>
      <c r="C802" s="96" t="s">
        <v>142</v>
      </c>
      <c r="D802" s="54" t="s">
        <v>38</v>
      </c>
      <c r="E802" s="53">
        <v>1</v>
      </c>
      <c r="F802" s="101">
        <f t="shared" si="202"/>
        <v>1178</v>
      </c>
      <c r="G802" s="101">
        <f t="shared" si="203"/>
        <v>1178</v>
      </c>
      <c r="H802" s="10" t="s">
        <v>17</v>
      </c>
      <c r="I802" s="97" t="str">
        <f t="shared" si="201"/>
        <v>IFI1_2</v>
      </c>
    </row>
    <row r="803" spans="1:9" ht="76.5" x14ac:dyDescent="0.25">
      <c r="A803" s="53" t="s">
        <v>988</v>
      </c>
      <c r="B803" s="96" t="str">
        <f>A803 &amp;". Apart from today when was the last time you used this financial service for any financial activity? "&amp;Other!X3</f>
        <v>IFI2.2. Apart from today when was the last time you used this financial service for any financial activity? Cooperative (BMT, Credit Union, KSP) / Ventura</v>
      </c>
      <c r="C803" s="96" t="s">
        <v>2402</v>
      </c>
      <c r="D803" s="54" t="s">
        <v>38</v>
      </c>
      <c r="E803" s="53">
        <v>1</v>
      </c>
      <c r="F803" s="101">
        <f t="shared" si="202"/>
        <v>1179</v>
      </c>
      <c r="G803" s="101">
        <f t="shared" si="203"/>
        <v>1179</v>
      </c>
      <c r="H803" s="10" t="s">
        <v>989</v>
      </c>
      <c r="I803" s="97" t="str">
        <f t="shared" si="201"/>
        <v>IFI2_2</v>
      </c>
    </row>
    <row r="804" spans="1:9" ht="25.5" x14ac:dyDescent="0.25">
      <c r="A804" s="53" t="s">
        <v>990</v>
      </c>
      <c r="B804" s="96" t="str">
        <f>A804&amp;". Do you have an account/membership in your name with any of the following? "&amp;Other!X3</f>
        <v>IFI3.2. Do you have an account/membership in your name with any of the following? Cooperative (BMT, Credit Union, KSP) / Ventura</v>
      </c>
      <c r="C804" s="96" t="s">
        <v>142</v>
      </c>
      <c r="D804" s="54" t="s">
        <v>38</v>
      </c>
      <c r="E804" s="53">
        <v>1</v>
      </c>
      <c r="F804" s="101">
        <f t="shared" si="202"/>
        <v>1180</v>
      </c>
      <c r="G804" s="101">
        <f t="shared" si="203"/>
        <v>1180</v>
      </c>
      <c r="H804" s="10" t="s">
        <v>17</v>
      </c>
      <c r="I804" s="97" t="str">
        <f t="shared" si="201"/>
        <v>IFI3_2</v>
      </c>
    </row>
    <row r="805" spans="1:9" ht="76.5" x14ac:dyDescent="0.25">
      <c r="A805" s="53" t="s">
        <v>991</v>
      </c>
      <c r="B805" s="96" t="str">
        <f>A805&amp;" .Apart from today, when was the last time you used the account/membership that is in your name for this service? "&amp;Other!X3</f>
        <v>IFI4.2 .Apart from today, when was the last time you used the account/membership that is in your name for this service? Cooperative (BMT, Credit Union, KSP) / Ventura</v>
      </c>
      <c r="C805" s="96" t="s">
        <v>2402</v>
      </c>
      <c r="D805" s="54" t="s">
        <v>38</v>
      </c>
      <c r="E805" s="53">
        <v>1</v>
      </c>
      <c r="F805" s="101">
        <f t="shared" si="202"/>
        <v>1181</v>
      </c>
      <c r="G805" s="101">
        <f t="shared" si="203"/>
        <v>1181</v>
      </c>
      <c r="H805" s="10" t="s">
        <v>992</v>
      </c>
      <c r="I805" s="97" t="str">
        <f t="shared" si="201"/>
        <v>IFI4_2</v>
      </c>
    </row>
    <row r="806" spans="1:9" ht="25.5" x14ac:dyDescent="0.25">
      <c r="A806" s="53" t="s">
        <v>993</v>
      </c>
      <c r="B806" s="96" t="str">
        <f>A806&amp; ". Have you ever used any of the following? " &amp;Other!X4</f>
        <v>IFI1.3. Have you ever used any of the following? Pawnshop</v>
      </c>
      <c r="C806" s="96" t="s">
        <v>142</v>
      </c>
      <c r="D806" s="54" t="s">
        <v>38</v>
      </c>
      <c r="E806" s="53">
        <v>1</v>
      </c>
      <c r="F806" s="101">
        <f t="shared" si="202"/>
        <v>1182</v>
      </c>
      <c r="G806" s="101">
        <f t="shared" si="203"/>
        <v>1182</v>
      </c>
      <c r="H806" s="10" t="s">
        <v>17</v>
      </c>
      <c r="I806" s="97" t="str">
        <f t="shared" si="201"/>
        <v>IFI1_3</v>
      </c>
    </row>
    <row r="807" spans="1:9" ht="76.5" x14ac:dyDescent="0.25">
      <c r="A807" s="53" t="s">
        <v>994</v>
      </c>
      <c r="B807" s="96" t="str">
        <f>A807 &amp;". Apart from today when was the last time you used this financial service for any financial activity? "&amp;Other!X4</f>
        <v>IFI2.3. Apart from today when was the last time you used this financial service for any financial activity? Pawnshop</v>
      </c>
      <c r="C807" s="96" t="s">
        <v>2402</v>
      </c>
      <c r="D807" s="54" t="s">
        <v>38</v>
      </c>
      <c r="E807" s="53">
        <v>1</v>
      </c>
      <c r="F807" s="101">
        <f t="shared" si="202"/>
        <v>1183</v>
      </c>
      <c r="G807" s="101">
        <f t="shared" si="203"/>
        <v>1183</v>
      </c>
      <c r="H807" s="10" t="s">
        <v>995</v>
      </c>
      <c r="I807" s="97" t="str">
        <f t="shared" si="201"/>
        <v>IFI2_3</v>
      </c>
    </row>
    <row r="808" spans="1:9" ht="25.5" x14ac:dyDescent="0.25">
      <c r="A808" s="53" t="s">
        <v>996</v>
      </c>
      <c r="B808" s="96" t="str">
        <f>A808&amp;". Do you have an account/membership in your name with any of the following? "&amp;Other!X4</f>
        <v>IFI3.3. Do you have an account/membership in your name with any of the following? Pawnshop</v>
      </c>
      <c r="C808" s="96" t="s">
        <v>142</v>
      </c>
      <c r="D808" s="54" t="s">
        <v>38</v>
      </c>
      <c r="E808" s="53">
        <v>1</v>
      </c>
      <c r="F808" s="101">
        <f t="shared" si="202"/>
        <v>1184</v>
      </c>
      <c r="G808" s="101">
        <f t="shared" si="203"/>
        <v>1184</v>
      </c>
      <c r="H808" s="10" t="s">
        <v>17</v>
      </c>
      <c r="I808" s="97" t="str">
        <f t="shared" si="201"/>
        <v>IFI3_3</v>
      </c>
    </row>
    <row r="809" spans="1:9" ht="76.5" x14ac:dyDescent="0.25">
      <c r="A809" s="53" t="s">
        <v>997</v>
      </c>
      <c r="B809" s="96" t="str">
        <f>A809&amp;" .Apart from today, when was the last time you used the account/membership that is in your name for this service? "&amp;Other!X4</f>
        <v>IFI4.3 .Apart from today, when was the last time you used the account/membership that is in your name for this service? Pawnshop</v>
      </c>
      <c r="C809" s="96" t="s">
        <v>2402</v>
      </c>
      <c r="D809" s="54" t="s">
        <v>38</v>
      </c>
      <c r="E809" s="53">
        <v>1</v>
      </c>
      <c r="F809" s="101">
        <f t="shared" si="202"/>
        <v>1185</v>
      </c>
      <c r="G809" s="101">
        <f t="shared" si="203"/>
        <v>1185</v>
      </c>
      <c r="H809" s="10" t="s">
        <v>998</v>
      </c>
      <c r="I809" s="97" t="str">
        <f t="shared" si="201"/>
        <v>IFI4_3</v>
      </c>
    </row>
    <row r="810" spans="1:9" ht="25.5" x14ac:dyDescent="0.25">
      <c r="A810" s="53" t="s">
        <v>999</v>
      </c>
      <c r="B810" s="96" t="str">
        <f>A810&amp; ". Have you ever used any of the following? " &amp;Other!X5</f>
        <v>IFI1.4. Have you ever used any of the following? Post office bank</v>
      </c>
      <c r="C810" s="96" t="s">
        <v>142</v>
      </c>
      <c r="D810" s="54" t="s">
        <v>38</v>
      </c>
      <c r="E810" s="53">
        <v>1</v>
      </c>
      <c r="F810" s="101">
        <f t="shared" si="202"/>
        <v>1186</v>
      </c>
      <c r="G810" s="101">
        <f t="shared" si="203"/>
        <v>1186</v>
      </c>
      <c r="H810" s="10" t="s">
        <v>17</v>
      </c>
      <c r="I810" s="97" t="str">
        <f t="shared" si="201"/>
        <v>IFI1_4</v>
      </c>
    </row>
    <row r="811" spans="1:9" ht="76.5" x14ac:dyDescent="0.25">
      <c r="A811" s="53" t="s">
        <v>1000</v>
      </c>
      <c r="B811" s="96" t="str">
        <f>A811 &amp;". Apart from today when was the last time you used this financial service for any financial activity? "&amp;Other!X5</f>
        <v>IFI2.4. Apart from today when was the last time you used this financial service for any financial activity? Post office bank</v>
      </c>
      <c r="C811" s="96" t="s">
        <v>2402</v>
      </c>
      <c r="D811" s="54" t="s">
        <v>38</v>
      </c>
      <c r="E811" s="53">
        <v>1</v>
      </c>
      <c r="F811" s="101">
        <f t="shared" si="202"/>
        <v>1187</v>
      </c>
      <c r="G811" s="101">
        <f t="shared" si="203"/>
        <v>1187</v>
      </c>
      <c r="H811" s="10" t="s">
        <v>1001</v>
      </c>
      <c r="I811" s="97" t="str">
        <f t="shared" si="201"/>
        <v>IFI2_4</v>
      </c>
    </row>
    <row r="812" spans="1:9" ht="25.5" x14ac:dyDescent="0.25">
      <c r="A812" s="53" t="s">
        <v>1002</v>
      </c>
      <c r="B812" s="96" t="str">
        <f>A812&amp;". Do you have an account/membership in your name with any of the following? "&amp;Other!X5</f>
        <v>IFI3.4. Do you have an account/membership in your name with any of the following? Post office bank</v>
      </c>
      <c r="C812" s="96" t="s">
        <v>142</v>
      </c>
      <c r="D812" s="54" t="s">
        <v>38</v>
      </c>
      <c r="E812" s="53">
        <v>1</v>
      </c>
      <c r="F812" s="101">
        <f t="shared" si="202"/>
        <v>1188</v>
      </c>
      <c r="G812" s="101">
        <f t="shared" si="203"/>
        <v>1188</v>
      </c>
      <c r="H812" s="10" t="s">
        <v>17</v>
      </c>
      <c r="I812" s="97" t="str">
        <f t="shared" si="201"/>
        <v>IFI3_4</v>
      </c>
    </row>
    <row r="813" spans="1:9" ht="76.5" x14ac:dyDescent="0.25">
      <c r="A813" s="53" t="s">
        <v>1003</v>
      </c>
      <c r="B813" s="96" t="str">
        <f>A813&amp;" .Apart from today, when was the last time you used the account/membership that is in your name for this service? "&amp;Other!X5</f>
        <v>IFI4.4 .Apart from today, when was the last time you used the account/membership that is in your name for this service? Post office bank</v>
      </c>
      <c r="C813" s="96" t="s">
        <v>2402</v>
      </c>
      <c r="D813" s="54" t="s">
        <v>38</v>
      </c>
      <c r="E813" s="53">
        <v>1</v>
      </c>
      <c r="F813" s="101">
        <f t="shared" si="202"/>
        <v>1189</v>
      </c>
      <c r="G813" s="101">
        <f t="shared" si="203"/>
        <v>1189</v>
      </c>
      <c r="H813" s="10" t="s">
        <v>1004</v>
      </c>
      <c r="I813" s="97" t="str">
        <f t="shared" si="201"/>
        <v>IFI4_4</v>
      </c>
    </row>
    <row r="814" spans="1:9" ht="25.5" x14ac:dyDescent="0.25">
      <c r="A814" s="53" t="s">
        <v>1005</v>
      </c>
      <c r="B814" s="96" t="str">
        <f>A814&amp;". Have you ever used any of the following? "&amp;Other!X6</f>
        <v>IFI1.5. Have you ever used any of the following? Multifinance (e.g. Adira, FIF, BAF, AAC, etc.)</v>
      </c>
      <c r="C814" s="96" t="s">
        <v>142</v>
      </c>
      <c r="D814" s="54" t="s">
        <v>38</v>
      </c>
      <c r="E814" s="53">
        <v>1</v>
      </c>
      <c r="F814" s="101">
        <f t="shared" si="202"/>
        <v>1190</v>
      </c>
      <c r="G814" s="101">
        <f t="shared" si="203"/>
        <v>1190</v>
      </c>
      <c r="H814" s="10" t="s">
        <v>17</v>
      </c>
      <c r="I814" s="97" t="str">
        <f t="shared" si="201"/>
        <v>IFI1_5</v>
      </c>
    </row>
    <row r="815" spans="1:9" ht="76.5" x14ac:dyDescent="0.25">
      <c r="A815" s="53" t="s">
        <v>1006</v>
      </c>
      <c r="B815" s="96" t="str">
        <f>A815 &amp;". Apart from today when was the last time you used this financial service for any financial activity? "&amp;Other!X6</f>
        <v>IFI2.5. Apart from today when was the last time you used this financial service for any financial activity? Multifinance (e.g. Adira, FIF, BAF, AAC, etc.)</v>
      </c>
      <c r="C815" s="96" t="s">
        <v>2402</v>
      </c>
      <c r="D815" s="54" t="s">
        <v>38</v>
      </c>
      <c r="E815" s="53">
        <v>1</v>
      </c>
      <c r="F815" s="101">
        <f t="shared" si="202"/>
        <v>1191</v>
      </c>
      <c r="G815" s="101">
        <f t="shared" si="203"/>
        <v>1191</v>
      </c>
      <c r="H815" s="10" t="s">
        <v>1007</v>
      </c>
      <c r="I815" s="97" t="str">
        <f t="shared" si="201"/>
        <v>IFI2_5</v>
      </c>
    </row>
    <row r="816" spans="1:9" ht="25.5" x14ac:dyDescent="0.25">
      <c r="A816" s="53" t="s">
        <v>1008</v>
      </c>
      <c r="B816" s="96" t="str">
        <f>A816&amp; ". Have you ever used any of the following? " &amp;Other!X7</f>
        <v>IFI1.6. Have you ever used any of the following? Arisan or another informal saving network</v>
      </c>
      <c r="C816" s="96" t="s">
        <v>142</v>
      </c>
      <c r="D816" s="54" t="s">
        <v>38</v>
      </c>
      <c r="E816" s="53">
        <v>1</v>
      </c>
      <c r="F816" s="101">
        <f t="shared" si="202"/>
        <v>1192</v>
      </c>
      <c r="G816" s="101">
        <f t="shared" si="203"/>
        <v>1192</v>
      </c>
      <c r="H816" s="10" t="s">
        <v>17</v>
      </c>
      <c r="I816" s="97" t="str">
        <f t="shared" si="201"/>
        <v>IFI1_6</v>
      </c>
    </row>
    <row r="817" spans="1:9" ht="76.5" x14ac:dyDescent="0.25">
      <c r="A817" s="53" t="s">
        <v>1009</v>
      </c>
      <c r="B817" s="96" t="str">
        <f>A817 &amp;". Apart from today when was the last time you used this financial service for any financial activity? "&amp;Other!X7</f>
        <v>IFI2.6. Apart from today when was the last time you used this financial service for any financial activity? Arisan or another informal saving network</v>
      </c>
      <c r="C817" s="96" t="s">
        <v>2402</v>
      </c>
      <c r="D817" s="54" t="s">
        <v>38</v>
      </c>
      <c r="E817" s="53">
        <v>1</v>
      </c>
      <c r="F817" s="101">
        <f t="shared" si="202"/>
        <v>1193</v>
      </c>
      <c r="G817" s="101">
        <f t="shared" si="203"/>
        <v>1193</v>
      </c>
      <c r="H817" s="10" t="s">
        <v>1010</v>
      </c>
      <c r="I817" s="97" t="str">
        <f t="shared" si="201"/>
        <v>IFI2_6</v>
      </c>
    </row>
    <row r="818" spans="1:9" ht="38.25" x14ac:dyDescent="0.25">
      <c r="A818" s="53" t="s">
        <v>1011</v>
      </c>
      <c r="B818" s="96" t="str">
        <f>A818&amp; ". Have you ever used any of the following? " &amp;Other!X8</f>
        <v>IFI1.7. Have you ever used any of the following? A money guard/ someone in workplace or neighborhood that collects and keeps savings deposits on a regular basis</v>
      </c>
      <c r="C818" s="96" t="s">
        <v>142</v>
      </c>
      <c r="D818" s="54" t="s">
        <v>38</v>
      </c>
      <c r="E818" s="53">
        <v>1</v>
      </c>
      <c r="F818" s="101">
        <f t="shared" si="202"/>
        <v>1194</v>
      </c>
      <c r="G818" s="101">
        <f t="shared" si="203"/>
        <v>1194</v>
      </c>
      <c r="H818" s="10" t="s">
        <v>17</v>
      </c>
      <c r="I818" s="97" t="str">
        <f t="shared" si="201"/>
        <v>IFI1_7</v>
      </c>
    </row>
    <row r="819" spans="1:9" ht="76.5" x14ac:dyDescent="0.25">
      <c r="A819" s="53" t="s">
        <v>1012</v>
      </c>
      <c r="B819" s="96" t="str">
        <f>A819 &amp;". Apart from today when was the last time you used this financial service for any financial activity? "&amp;Other!X8</f>
        <v>IFI2.7. Apart from today when was the last time you used this financial service for any financial activity? A money guard/ someone in workplace or neighborhood that collects and keeps savings deposits on a regular basis</v>
      </c>
      <c r="C819" s="96" t="s">
        <v>2402</v>
      </c>
      <c r="D819" s="54" t="s">
        <v>38</v>
      </c>
      <c r="E819" s="53">
        <v>1</v>
      </c>
      <c r="F819" s="101">
        <f t="shared" si="202"/>
        <v>1195</v>
      </c>
      <c r="G819" s="101">
        <f t="shared" si="203"/>
        <v>1195</v>
      </c>
      <c r="H819" s="10" t="s">
        <v>1013</v>
      </c>
      <c r="I819" s="97" t="str">
        <f t="shared" si="201"/>
        <v>IFI2_7</v>
      </c>
    </row>
    <row r="820" spans="1:9" ht="25.5" x14ac:dyDescent="0.25">
      <c r="A820" s="53" t="s">
        <v>1014</v>
      </c>
      <c r="B820" s="96" t="str">
        <f>A820&amp; ". Have you ever used any of the following? " &amp;Other!X9</f>
        <v xml:space="preserve">IFI1.8. Have you ever used any of the following? Money lender (pengepul, supplier/ pemasok, etc.)   </v>
      </c>
      <c r="C820" s="96" t="s">
        <v>142</v>
      </c>
      <c r="D820" s="54" t="s">
        <v>38</v>
      </c>
      <c r="E820" s="53">
        <v>1</v>
      </c>
      <c r="F820" s="101">
        <f t="shared" si="202"/>
        <v>1196</v>
      </c>
      <c r="G820" s="101">
        <f t="shared" si="203"/>
        <v>1196</v>
      </c>
      <c r="H820" s="10" t="s">
        <v>17</v>
      </c>
      <c r="I820" s="97" t="str">
        <f t="shared" si="201"/>
        <v>IFI1_8</v>
      </c>
    </row>
    <row r="821" spans="1:9" ht="76.5" x14ac:dyDescent="0.25">
      <c r="A821" s="53" t="s">
        <v>1015</v>
      </c>
      <c r="B821" s="96" t="str">
        <f>A821 &amp;". Apart from today when was the last time you used this financial service for any financial activity? "&amp;Other!X9</f>
        <v xml:space="preserve">IFI2.8. Apart from today when was the last time you used this financial service for any financial activity? Money lender (pengepul, supplier/ pemasok, etc.)   </v>
      </c>
      <c r="C821" s="96" t="s">
        <v>2402</v>
      </c>
      <c r="D821" s="54" t="s">
        <v>38</v>
      </c>
      <c r="E821" s="53">
        <v>1</v>
      </c>
      <c r="F821" s="101">
        <f t="shared" si="202"/>
        <v>1197</v>
      </c>
      <c r="G821" s="101">
        <f t="shared" si="203"/>
        <v>1197</v>
      </c>
      <c r="H821" s="10" t="s">
        <v>1016</v>
      </c>
      <c r="I821" s="97" t="str">
        <f t="shared" si="201"/>
        <v>IFI2_8</v>
      </c>
    </row>
    <row r="822" spans="1:9" ht="25.5" x14ac:dyDescent="0.25">
      <c r="A822" s="53" t="s">
        <v>1017</v>
      </c>
      <c r="B822" s="96" t="str">
        <f>A822&amp; ". Have you ever used any of the following? " &amp;Other!X10</f>
        <v>IFI1.9. Have you ever used any of the following? A digital card, a recharge card that is not attached to a bank or MFI account</v>
      </c>
      <c r="C822" s="96" t="s">
        <v>142</v>
      </c>
      <c r="D822" s="54" t="s">
        <v>38</v>
      </c>
      <c r="E822" s="53">
        <v>1</v>
      </c>
      <c r="F822" s="101">
        <f>G821+1</f>
        <v>1198</v>
      </c>
      <c r="G822" s="101">
        <f>G821+E822</f>
        <v>1198</v>
      </c>
      <c r="H822" s="10" t="s">
        <v>17</v>
      </c>
      <c r="I822" s="97" t="str">
        <f>LEFT(A822,4) &amp; "_" &amp;RIGHT(A822,1)</f>
        <v>IFI1_9</v>
      </c>
    </row>
    <row r="823" spans="1:9" ht="76.5" x14ac:dyDescent="0.25">
      <c r="A823" s="53" t="s">
        <v>1018</v>
      </c>
      <c r="B823" s="96" t="str">
        <f>A823 &amp;". Apart from today when was the last time you used this financial service for any financial activity? "&amp;Other!X10</f>
        <v>IFI2.9. Apart from today when was the last time you used this financial service for any financial activity? A digital card, a recharge card that is not attached to a bank or MFI account</v>
      </c>
      <c r="C823" s="96" t="s">
        <v>2402</v>
      </c>
      <c r="D823" s="54" t="s">
        <v>38</v>
      </c>
      <c r="E823" s="53">
        <v>1</v>
      </c>
      <c r="F823" s="101">
        <f>G822+1</f>
        <v>1199</v>
      </c>
      <c r="G823" s="101">
        <f>G822+E823</f>
        <v>1199</v>
      </c>
      <c r="H823" s="10" t="s">
        <v>1019</v>
      </c>
      <c r="I823" s="97" t="str">
        <f>LEFT(A823,4) &amp; "_" &amp;RIGHT(A823,1)</f>
        <v>IFI2_9</v>
      </c>
    </row>
    <row r="824" spans="1:9" s="3" customFormat="1" ht="25.5" x14ac:dyDescent="0.25">
      <c r="A824" s="53" t="s">
        <v>1020</v>
      </c>
      <c r="B824" s="96" t="str">
        <f>A824&amp; ". Have you ever used any of the following? " &amp;Other!X11</f>
        <v>IFI1.96. Have you ever used any of the following? Other financial service (Specify)</v>
      </c>
      <c r="C824" s="96" t="s">
        <v>142</v>
      </c>
      <c r="D824" s="54" t="s">
        <v>38</v>
      </c>
      <c r="E824" s="53">
        <v>1</v>
      </c>
      <c r="F824" s="101">
        <f>G823+1</f>
        <v>1200</v>
      </c>
      <c r="G824" s="101">
        <f>G823+E824</f>
        <v>1200</v>
      </c>
      <c r="H824" s="10" t="s">
        <v>17</v>
      </c>
      <c r="I824" s="97" t="str">
        <f>LEFT(A824,4) &amp; "_" &amp;RIGHT(A824,2)</f>
        <v>IFI1_96</v>
      </c>
    </row>
    <row r="825" spans="1:9" s="3" customFormat="1" ht="76.5" x14ac:dyDescent="0.25">
      <c r="A825" s="53" t="s">
        <v>1021</v>
      </c>
      <c r="B825" s="96" t="str">
        <f>A825 &amp;". Apart from today when was the last time you used this financial service for any financial activity? "&amp;Other!X11</f>
        <v>IFI2.96. Apart from today when was the last time you used this financial service for any financial activity? Other financial service (Specify)</v>
      </c>
      <c r="C825" s="96" t="s">
        <v>2402</v>
      </c>
      <c r="D825" s="54" t="s">
        <v>38</v>
      </c>
      <c r="E825" s="53">
        <v>1</v>
      </c>
      <c r="F825" s="101">
        <f t="shared" si="202"/>
        <v>1201</v>
      </c>
      <c r="G825" s="101">
        <f t="shared" si="203"/>
        <v>1201</v>
      </c>
      <c r="H825" s="10" t="s">
        <v>1022</v>
      </c>
      <c r="I825" s="97" t="str">
        <f>LEFT(A825,4) &amp; "_" &amp;RIGHT(A825,2)</f>
        <v>IFI2_96</v>
      </c>
    </row>
    <row r="826" spans="1:9" s="3" customFormat="1" ht="51" x14ac:dyDescent="0.25">
      <c r="A826" s="53" t="s">
        <v>1023</v>
      </c>
      <c r="B826" s="90" t="str">
        <f>A826&amp;". Which of the following services does your…offer? "&amp;Other!Y2</f>
        <v>IFI5.1. Which of the following services does your…offer? BPR</v>
      </c>
      <c r="C826" s="90" t="s">
        <v>1024</v>
      </c>
      <c r="D826" s="53" t="s">
        <v>38</v>
      </c>
      <c r="E826" s="53">
        <v>1</v>
      </c>
      <c r="F826" s="101">
        <f t="shared" si="202"/>
        <v>1202</v>
      </c>
      <c r="G826" s="101">
        <f t="shared" si="203"/>
        <v>1202</v>
      </c>
      <c r="H826" s="3" t="s">
        <v>983</v>
      </c>
      <c r="I826" s="94" t="str">
        <f t="shared" ref="I826:I845" si="204">LEFT(A826,4) &amp; "_" &amp;RIGHT(A826,1)</f>
        <v>IFI5_1</v>
      </c>
    </row>
    <row r="827" spans="1:9" s="3" customFormat="1" ht="51" x14ac:dyDescent="0.25">
      <c r="A827" s="53" t="s">
        <v>1025</v>
      </c>
      <c r="B827" s="90" t="str">
        <f>A827&amp;". Which of the following services does your…offer? "&amp;Other!Y3</f>
        <v>IFI5.2. Which of the following services does your…offer? Cooperative (BMT, Credit Union, KSP) / Ventura</v>
      </c>
      <c r="C827" s="90" t="s">
        <v>1024</v>
      </c>
      <c r="D827" s="53" t="s">
        <v>38</v>
      </c>
      <c r="E827" s="53">
        <v>1</v>
      </c>
      <c r="F827" s="101">
        <f t="shared" si="202"/>
        <v>1203</v>
      </c>
      <c r="G827" s="101">
        <f t="shared" si="203"/>
        <v>1203</v>
      </c>
      <c r="H827" s="3" t="s">
        <v>989</v>
      </c>
      <c r="I827" s="94" t="str">
        <f t="shared" si="204"/>
        <v>IFI5_2</v>
      </c>
    </row>
    <row r="828" spans="1:9" s="86" customFormat="1" ht="51" x14ac:dyDescent="0.25">
      <c r="A828" s="53" t="s">
        <v>1026</v>
      </c>
      <c r="B828" s="90" t="str">
        <f>A828&amp;". Which of the following services does your…offer? "&amp;Other!Y4</f>
        <v>IFI5.3. Which of the following services does your…offer? Pawnshop</v>
      </c>
      <c r="C828" s="90" t="s">
        <v>1024</v>
      </c>
      <c r="D828" s="53" t="s">
        <v>38</v>
      </c>
      <c r="E828" s="53">
        <v>1</v>
      </c>
      <c r="F828" s="101">
        <f t="shared" si="202"/>
        <v>1204</v>
      </c>
      <c r="G828" s="101">
        <f t="shared" si="203"/>
        <v>1204</v>
      </c>
      <c r="H828" s="3" t="s">
        <v>995</v>
      </c>
      <c r="I828" s="94" t="str">
        <f t="shared" si="204"/>
        <v>IFI5_3</v>
      </c>
    </row>
    <row r="829" spans="1:9" ht="51" x14ac:dyDescent="0.25">
      <c r="A829" s="53" t="s">
        <v>1027</v>
      </c>
      <c r="B829" s="90" t="str">
        <f>A829&amp;". Which of the following services does your…offer? "&amp;Other!Y5</f>
        <v>IFI5.4. Which of the following services does your…offer? Post Office Bank</v>
      </c>
      <c r="C829" s="90" t="s">
        <v>1024</v>
      </c>
      <c r="D829" s="53" t="s">
        <v>38</v>
      </c>
      <c r="E829" s="53">
        <v>1</v>
      </c>
      <c r="F829" s="101">
        <f t="shared" si="202"/>
        <v>1205</v>
      </c>
      <c r="G829" s="101">
        <f t="shared" si="203"/>
        <v>1205</v>
      </c>
      <c r="H829" s="3" t="s">
        <v>1001</v>
      </c>
      <c r="I829" s="94" t="str">
        <f>LEFT(A829,4) &amp; "_" &amp;RIGHT(A829,1)</f>
        <v>IFI5_4</v>
      </c>
    </row>
    <row r="830" spans="1:9" ht="38.25" x14ac:dyDescent="0.25">
      <c r="A830" s="102" t="s">
        <v>1028</v>
      </c>
      <c r="B830" s="103" t="str">
        <f>A830&amp;".Which of the following statements apply to the BPR account you use, registered or not? "&amp;Other!Z2</f>
        <v>IFI6.1.Which of the following statements apply to the BPR account you use, registered or not? You can access your account and make transactions using either a mobile phone application or internet/bank’s website</v>
      </c>
      <c r="C830" s="103" t="s">
        <v>442</v>
      </c>
      <c r="D830" s="83" t="s">
        <v>38</v>
      </c>
      <c r="E830" s="83">
        <v>2</v>
      </c>
      <c r="F830" s="102">
        <f t="shared" si="202"/>
        <v>1206</v>
      </c>
      <c r="G830" s="102">
        <f t="shared" si="203"/>
        <v>1207</v>
      </c>
      <c r="H830" s="104" t="s">
        <v>983</v>
      </c>
      <c r="I830" s="102" t="str">
        <f t="shared" si="204"/>
        <v>IFI6_1</v>
      </c>
    </row>
    <row r="831" spans="1:9" ht="38.25" x14ac:dyDescent="0.25">
      <c r="A831" s="101" t="s">
        <v>1029</v>
      </c>
      <c r="B831" s="103" t="str">
        <f>A831&amp;".Which of the following statements apply to the BPR account you use, registered or not? "&amp;Other!Z3</f>
        <v>IFI6.2.Which of the following statements apply to the BPR account you use, registered or not? The institution offers a debit/ATM card with this account</v>
      </c>
      <c r="C831" s="105" t="s">
        <v>442</v>
      </c>
      <c r="D831" s="106" t="s">
        <v>38</v>
      </c>
      <c r="E831" s="82">
        <v>2</v>
      </c>
      <c r="F831" s="107">
        <f t="shared" si="202"/>
        <v>1208</v>
      </c>
      <c r="G831" s="107">
        <f t="shared" si="203"/>
        <v>1209</v>
      </c>
      <c r="H831" s="108" t="s">
        <v>983</v>
      </c>
      <c r="I831" s="109" t="str">
        <f t="shared" si="204"/>
        <v>IFI6_2</v>
      </c>
    </row>
    <row r="832" spans="1:9" ht="38.25" x14ac:dyDescent="0.25">
      <c r="A832" s="101" t="s">
        <v>1030</v>
      </c>
      <c r="B832" s="103" t="str">
        <f>A832&amp;".Which of the following statements apply to the BPR account you use, registered or not? "&amp;Other!Z4</f>
        <v>IFI6.3.Which of the following statements apply to the BPR account you use, registered or not? The institution offers a credit card with this account</v>
      </c>
      <c r="C832" s="105" t="s">
        <v>442</v>
      </c>
      <c r="D832" s="106" t="s">
        <v>38</v>
      </c>
      <c r="E832" s="82">
        <v>2</v>
      </c>
      <c r="F832" s="107">
        <f t="shared" si="202"/>
        <v>1210</v>
      </c>
      <c r="G832" s="107">
        <f t="shared" si="203"/>
        <v>1211</v>
      </c>
      <c r="H832" s="108" t="s">
        <v>983</v>
      </c>
      <c r="I832" s="109" t="str">
        <f t="shared" si="204"/>
        <v>IFI6_3</v>
      </c>
    </row>
    <row r="833" spans="1:9" ht="63.75" x14ac:dyDescent="0.25">
      <c r="A833" s="101" t="s">
        <v>1031</v>
      </c>
      <c r="B833" s="103" t="str">
        <f>A833&amp;".Which of the following statements apply to the BPR account you use, registered or not? "&amp;Other!Z5</f>
        <v>IFI6.4.Which of the following statements apply to the BPR account you use, registered or not? You can transfer money to/from this account without using cash (make a direct deposit, automatic payments or withdrawals, transfers to/from other banks/mobile money account/MFI or cooperative account, through placing a standard order)</v>
      </c>
      <c r="C833" s="105" t="s">
        <v>442</v>
      </c>
      <c r="D833" s="106" t="s">
        <v>38</v>
      </c>
      <c r="E833" s="82">
        <v>2</v>
      </c>
      <c r="F833" s="107">
        <f t="shared" si="202"/>
        <v>1212</v>
      </c>
      <c r="G833" s="107">
        <f t="shared" si="203"/>
        <v>1213</v>
      </c>
      <c r="H833" s="108" t="s">
        <v>983</v>
      </c>
      <c r="I833" s="109" t="str">
        <f t="shared" si="204"/>
        <v>IFI6_4</v>
      </c>
    </row>
    <row r="834" spans="1:9" ht="38.25" x14ac:dyDescent="0.25">
      <c r="A834" s="101" t="s">
        <v>1032</v>
      </c>
      <c r="B834" s="90" t="str">
        <f>A834&amp;".Which of the following statements apply to the COOPERATIVE account you use, registered or not?" &amp;Other!Z2</f>
        <v>IFI7.1.Which of the following statements apply to the COOPERATIVE account you use, registered or not?You can access your account and make transactions using either a mobile phone application or internet/bank’s website</v>
      </c>
      <c r="C834" s="96" t="s">
        <v>442</v>
      </c>
      <c r="D834" s="54" t="s">
        <v>38</v>
      </c>
      <c r="E834" s="53">
        <v>2</v>
      </c>
      <c r="F834" s="101">
        <f t="shared" si="202"/>
        <v>1214</v>
      </c>
      <c r="G834" s="101">
        <f t="shared" si="203"/>
        <v>1215</v>
      </c>
      <c r="H834" s="10" t="s">
        <v>989</v>
      </c>
      <c r="I834" s="110" t="str">
        <f t="shared" si="204"/>
        <v>IFI7_1</v>
      </c>
    </row>
    <row r="835" spans="1:9" ht="38.25" x14ac:dyDescent="0.25">
      <c r="A835" s="101" t="s">
        <v>1033</v>
      </c>
      <c r="B835" s="90" t="str">
        <f>A835&amp;".Which of the following statements apply to the COOPERATIVE account you use, registered or not?" &amp;Other!Z3</f>
        <v>IFI7.2.Which of the following statements apply to the COOPERATIVE account you use, registered or not?The institution offers a debit/ATM card with this account</v>
      </c>
      <c r="C835" s="96" t="s">
        <v>442</v>
      </c>
      <c r="D835" s="54" t="s">
        <v>38</v>
      </c>
      <c r="E835" s="53">
        <v>2</v>
      </c>
      <c r="F835" s="101">
        <f t="shared" si="202"/>
        <v>1216</v>
      </c>
      <c r="G835" s="101">
        <f t="shared" si="203"/>
        <v>1217</v>
      </c>
      <c r="H835" s="10" t="s">
        <v>989</v>
      </c>
      <c r="I835" s="110" t="str">
        <f t="shared" si="204"/>
        <v>IFI7_2</v>
      </c>
    </row>
    <row r="836" spans="1:9" ht="38.25" x14ac:dyDescent="0.25">
      <c r="A836" s="101" t="s">
        <v>1034</v>
      </c>
      <c r="B836" s="90" t="str">
        <f>A836&amp;".Which of the following statements apply to the COOPERATIVE account you use, registered or not?" &amp;Other!Z4</f>
        <v>IFI7.3.Which of the following statements apply to the COOPERATIVE account you use, registered or not?The institution offers a credit card with this account</v>
      </c>
      <c r="C836" s="96" t="s">
        <v>442</v>
      </c>
      <c r="D836" s="54" t="s">
        <v>38</v>
      </c>
      <c r="E836" s="53">
        <v>2</v>
      </c>
      <c r="F836" s="101">
        <f t="shared" si="202"/>
        <v>1218</v>
      </c>
      <c r="G836" s="101">
        <f t="shared" si="203"/>
        <v>1219</v>
      </c>
      <c r="H836" s="10" t="s">
        <v>989</v>
      </c>
      <c r="I836" s="110" t="str">
        <f t="shared" si="204"/>
        <v>IFI7_3</v>
      </c>
    </row>
    <row r="837" spans="1:9" ht="63.75" x14ac:dyDescent="0.25">
      <c r="A837" s="101" t="s">
        <v>1035</v>
      </c>
      <c r="B837" s="90" t="str">
        <f>A837&amp;".Which of the following statements apply to the COOPERATIVE account you use, registered or not?" &amp;Other!Z5</f>
        <v>IFI7.4.Which of the following statements apply to the COOPERATIVE account you use, registered or not?You can transfer money to/from this account without using cash (make a direct deposit, automatic payments or withdrawals, transfers to/from other banks/mobile money account/MFI or cooperative account, through placing a standard order)</v>
      </c>
      <c r="C837" s="96" t="s">
        <v>442</v>
      </c>
      <c r="D837" s="54" t="s">
        <v>38</v>
      </c>
      <c r="E837" s="53">
        <v>2</v>
      </c>
      <c r="F837" s="101">
        <f t="shared" si="202"/>
        <v>1220</v>
      </c>
      <c r="G837" s="101">
        <f t="shared" si="203"/>
        <v>1221</v>
      </c>
      <c r="H837" s="10" t="s">
        <v>989</v>
      </c>
      <c r="I837" s="110" t="str">
        <f t="shared" si="204"/>
        <v>IFI7_4</v>
      </c>
    </row>
    <row r="838" spans="1:9" ht="38.25" x14ac:dyDescent="0.25">
      <c r="A838" s="101" t="s">
        <v>1036</v>
      </c>
      <c r="B838" s="90" t="str">
        <f>A838&amp;".Which of the following statements apply to PAWNSHOP account you use, registered or not?" &amp;Other!Z2</f>
        <v>IFI8.1.Which of the following statements apply to PAWNSHOP account you use, registered or not?You can access your account and make transactions using either a mobile phone application or internet/bank’s website</v>
      </c>
      <c r="C838" s="96" t="s">
        <v>442</v>
      </c>
      <c r="D838" s="54" t="s">
        <v>38</v>
      </c>
      <c r="E838" s="53">
        <v>2</v>
      </c>
      <c r="F838" s="101">
        <f t="shared" si="202"/>
        <v>1222</v>
      </c>
      <c r="G838" s="101">
        <f t="shared" si="203"/>
        <v>1223</v>
      </c>
      <c r="H838" s="10" t="s">
        <v>995</v>
      </c>
      <c r="I838" s="110" t="str">
        <f t="shared" si="204"/>
        <v>IFI8_1</v>
      </c>
    </row>
    <row r="839" spans="1:9" ht="38.25" x14ac:dyDescent="0.25">
      <c r="A839" s="110" t="s">
        <v>1037</v>
      </c>
      <c r="B839" s="90" t="str">
        <f>A839&amp;".Which of the following statements apply to PAWNSHOP account you use, registered or not?" &amp;Other!Z3</f>
        <v>IFI8.2.Which of the following statements apply to PAWNSHOP account you use, registered or not?The institution offers a debit/ATM card with this account</v>
      </c>
      <c r="C839" s="96" t="s">
        <v>442</v>
      </c>
      <c r="D839" s="54" t="s">
        <v>38</v>
      </c>
      <c r="E839" s="53">
        <v>2</v>
      </c>
      <c r="F839" s="101">
        <f t="shared" si="202"/>
        <v>1224</v>
      </c>
      <c r="G839" s="101">
        <f t="shared" si="203"/>
        <v>1225</v>
      </c>
      <c r="H839" s="10" t="s">
        <v>995</v>
      </c>
      <c r="I839" s="110" t="str">
        <f t="shared" si="204"/>
        <v>IFI8_2</v>
      </c>
    </row>
    <row r="840" spans="1:9" ht="38.25" x14ac:dyDescent="0.25">
      <c r="A840" s="110" t="s">
        <v>1038</v>
      </c>
      <c r="B840" s="90" t="str">
        <f>A840&amp;".Which of the following statements apply to PAWNSHOP account you use, registered or not?" &amp;Other!Z4</f>
        <v>IFI8.3.Which of the following statements apply to PAWNSHOP account you use, registered or not?The institution offers a credit card with this account</v>
      </c>
      <c r="C840" s="96" t="s">
        <v>442</v>
      </c>
      <c r="D840" s="54" t="s">
        <v>38</v>
      </c>
      <c r="E840" s="53">
        <v>2</v>
      </c>
      <c r="F840" s="101">
        <f t="shared" si="202"/>
        <v>1226</v>
      </c>
      <c r="G840" s="101">
        <f t="shared" si="203"/>
        <v>1227</v>
      </c>
      <c r="H840" s="10" t="s">
        <v>995</v>
      </c>
      <c r="I840" s="110" t="str">
        <f t="shared" si="204"/>
        <v>IFI8_3</v>
      </c>
    </row>
    <row r="841" spans="1:9" ht="63.75" x14ac:dyDescent="0.25">
      <c r="A841" s="110" t="s">
        <v>1039</v>
      </c>
      <c r="B841" s="90" t="str">
        <f>A841&amp;".Which of the following statements apply to PAWNSHOP account you use, registered or not?" &amp;Other!Z5</f>
        <v>IFI8.4.Which of the following statements apply to PAWNSHOP account you use, registered or not?You can transfer money to/from this account without using cash (make a direct deposit, automatic payments or withdrawals, transfers to/from other banks/mobile money account/MFI or cooperative account, through placing a standard order)</v>
      </c>
      <c r="C841" s="96" t="s">
        <v>442</v>
      </c>
      <c r="D841" s="54" t="s">
        <v>38</v>
      </c>
      <c r="E841" s="53">
        <v>2</v>
      </c>
      <c r="F841" s="101">
        <f t="shared" si="202"/>
        <v>1228</v>
      </c>
      <c r="G841" s="101">
        <f t="shared" si="203"/>
        <v>1229</v>
      </c>
      <c r="H841" s="10" t="s">
        <v>995</v>
      </c>
      <c r="I841" s="110" t="str">
        <f t="shared" si="204"/>
        <v>IFI8_4</v>
      </c>
    </row>
    <row r="842" spans="1:9" ht="38.25" x14ac:dyDescent="0.25">
      <c r="A842" s="110" t="s">
        <v>1040</v>
      </c>
      <c r="B842" s="90" t="str">
        <f>A842&amp;".Which of the following statements apply to POST OFFICE account you use, registered or not? " &amp;Other!Z2</f>
        <v>IFI9.1.Which of the following statements apply to POST OFFICE account you use, registered or not? You can access your account and make transactions using either a mobile phone application or internet/bank’s website</v>
      </c>
      <c r="C842" s="96" t="s">
        <v>442</v>
      </c>
      <c r="D842" s="54" t="s">
        <v>38</v>
      </c>
      <c r="E842" s="53">
        <v>2</v>
      </c>
      <c r="F842" s="101">
        <f t="shared" si="202"/>
        <v>1230</v>
      </c>
      <c r="G842" s="101">
        <f t="shared" si="203"/>
        <v>1231</v>
      </c>
      <c r="H842" s="10" t="s">
        <v>1001</v>
      </c>
      <c r="I842" s="110" t="str">
        <f t="shared" si="204"/>
        <v>IFI9_1</v>
      </c>
    </row>
    <row r="843" spans="1:9" ht="38.25" x14ac:dyDescent="0.25">
      <c r="A843" s="110" t="s">
        <v>1041</v>
      </c>
      <c r="B843" s="90" t="str">
        <f>A843&amp;".Which of the following statements apply to POST OFFICE account you use, registered or not? " &amp;Other!Z3</f>
        <v>IFI9.2.Which of the following statements apply to POST OFFICE account you use, registered or not? The institution offers a debit/ATM card with this account</v>
      </c>
      <c r="C843" s="96" t="s">
        <v>442</v>
      </c>
      <c r="D843" s="54" t="s">
        <v>38</v>
      </c>
      <c r="E843" s="53">
        <v>2</v>
      </c>
      <c r="F843" s="101">
        <f t="shared" si="202"/>
        <v>1232</v>
      </c>
      <c r="G843" s="101">
        <f t="shared" si="203"/>
        <v>1233</v>
      </c>
      <c r="H843" s="10" t="s">
        <v>1001</v>
      </c>
      <c r="I843" s="110" t="str">
        <f t="shared" si="204"/>
        <v>IFI9_2</v>
      </c>
    </row>
    <row r="844" spans="1:9" ht="38.25" x14ac:dyDescent="0.25">
      <c r="A844" s="110" t="s">
        <v>1042</v>
      </c>
      <c r="B844" s="90" t="str">
        <f>A844&amp;".Which of the following statements apply to POST OFFICE account you use, registered or not? " &amp;Other!Z4</f>
        <v>IFI9.3.Which of the following statements apply to POST OFFICE account you use, registered or not? The institution offers a credit card with this account</v>
      </c>
      <c r="C844" s="96" t="s">
        <v>442</v>
      </c>
      <c r="D844" s="54" t="s">
        <v>38</v>
      </c>
      <c r="E844" s="53">
        <v>2</v>
      </c>
      <c r="F844" s="101">
        <f t="shared" si="202"/>
        <v>1234</v>
      </c>
      <c r="G844" s="101">
        <f t="shared" si="203"/>
        <v>1235</v>
      </c>
      <c r="H844" s="10" t="s">
        <v>1001</v>
      </c>
      <c r="I844" s="110" t="str">
        <f t="shared" si="204"/>
        <v>IFI9_3</v>
      </c>
    </row>
    <row r="845" spans="1:9" ht="63.75" x14ac:dyDescent="0.25">
      <c r="A845" s="110" t="s">
        <v>1043</v>
      </c>
      <c r="B845" s="90" t="str">
        <f>A845&amp;".Which of the following statements apply to POST OFFICE account you use, registered or not? " &amp;Other!Z5</f>
        <v>IFI9.4.Which of the following statements apply to POST OFFICE account you use, registered or not? You can transfer money to/from this account without using cash (make a direct deposit, automatic payments or withdrawals, transfers to/from other banks/mobile money account/MFI or cooperative account, through placing a standard order)</v>
      </c>
      <c r="C845" s="96" t="s">
        <v>442</v>
      </c>
      <c r="D845" s="54" t="s">
        <v>38</v>
      </c>
      <c r="E845" s="53">
        <v>2</v>
      </c>
      <c r="F845" s="101">
        <f t="shared" si="202"/>
        <v>1236</v>
      </c>
      <c r="G845" s="101">
        <f t="shared" si="203"/>
        <v>1237</v>
      </c>
      <c r="H845" s="10" t="s">
        <v>1001</v>
      </c>
      <c r="I845" s="110" t="str">
        <f t="shared" si="204"/>
        <v>IFI9_4</v>
      </c>
    </row>
    <row r="846" spans="1:9" ht="25.5" x14ac:dyDescent="0.25">
      <c r="A846" s="110" t="s">
        <v>1044</v>
      </c>
      <c r="B846" s="90" t="str">
        <f>A846&amp;".Have you ever used your BPR account for the following?" &amp;Other!AA2</f>
        <v>IFI10.1.Have you ever used your BPR account for the following?Deposit money</v>
      </c>
      <c r="C846" s="96" t="s">
        <v>864</v>
      </c>
      <c r="D846" s="54" t="s">
        <v>38</v>
      </c>
      <c r="E846" s="53">
        <v>1</v>
      </c>
      <c r="F846" s="101">
        <f t="shared" si="202"/>
        <v>1238</v>
      </c>
      <c r="G846" s="101">
        <f t="shared" si="203"/>
        <v>1238</v>
      </c>
      <c r="H846" s="10" t="s">
        <v>983</v>
      </c>
      <c r="I846" s="110" t="str">
        <f t="shared" ref="I846:I854" si="205">LEFT(A846,5) &amp; "_" &amp;RIGHT(A846,1)</f>
        <v>IFI10_1</v>
      </c>
    </row>
    <row r="847" spans="1:9" ht="25.5" x14ac:dyDescent="0.25">
      <c r="A847" s="110" t="s">
        <v>1045</v>
      </c>
      <c r="B847" s="90" t="str">
        <f>A847&amp;".Have you ever used your BPR account for the following? " &amp;Other!AA3</f>
        <v>IFI10.2.Have you ever used your BPR account for the following? Withdraw money</v>
      </c>
      <c r="C847" s="96" t="s">
        <v>864</v>
      </c>
      <c r="D847" s="54" t="s">
        <v>38</v>
      </c>
      <c r="E847" s="53">
        <v>1</v>
      </c>
      <c r="F847" s="101">
        <f t="shared" si="202"/>
        <v>1239</v>
      </c>
      <c r="G847" s="101">
        <f t="shared" si="203"/>
        <v>1239</v>
      </c>
      <c r="H847" s="10" t="s">
        <v>983</v>
      </c>
      <c r="I847" s="110" t="str">
        <f t="shared" si="205"/>
        <v>IFI10_2</v>
      </c>
    </row>
    <row r="848" spans="1:9" ht="25.5" x14ac:dyDescent="0.25">
      <c r="A848" s="110" t="s">
        <v>1046</v>
      </c>
      <c r="B848" s="90" t="str">
        <f>A848&amp;".Have you ever used your BPR account to do the following? " &amp;Other!AA4</f>
        <v>IFI10.3.Have you ever used your BPR account to do the following? Buy airtime top-ups, pay mobile phone bill</v>
      </c>
      <c r="C848" s="96" t="s">
        <v>864</v>
      </c>
      <c r="D848" s="54" t="s">
        <v>38</v>
      </c>
      <c r="E848" s="53">
        <v>1</v>
      </c>
      <c r="F848" s="101">
        <f t="shared" si="202"/>
        <v>1240</v>
      </c>
      <c r="G848" s="101">
        <f t="shared" si="203"/>
        <v>1240</v>
      </c>
      <c r="H848" s="10" t="s">
        <v>983</v>
      </c>
      <c r="I848" s="110" t="str">
        <f t="shared" si="205"/>
        <v>IFI10_3</v>
      </c>
    </row>
    <row r="849" spans="1:9" ht="25.5" x14ac:dyDescent="0.25">
      <c r="A849" s="110" t="s">
        <v>1047</v>
      </c>
      <c r="B849" s="90" t="str">
        <f>A849&amp;".Have you ever used your BPR account to do the following? " &amp;Other!AA5</f>
        <v>IFI10.4.Have you ever used your BPR account to do the following? Pay a school fee</v>
      </c>
      <c r="C849" s="96" t="s">
        <v>864</v>
      </c>
      <c r="D849" s="54" t="s">
        <v>38</v>
      </c>
      <c r="E849" s="53">
        <v>1</v>
      </c>
      <c r="F849" s="101">
        <f t="shared" si="202"/>
        <v>1241</v>
      </c>
      <c r="G849" s="101">
        <f t="shared" si="203"/>
        <v>1241</v>
      </c>
      <c r="H849" s="10" t="s">
        <v>983</v>
      </c>
      <c r="I849" s="110" t="str">
        <f t="shared" si="205"/>
        <v>IFI10_4</v>
      </c>
    </row>
    <row r="850" spans="1:9" ht="25.5" x14ac:dyDescent="0.25">
      <c r="A850" s="110" t="s">
        <v>1048</v>
      </c>
      <c r="B850" s="90" t="str">
        <f>A850&amp;".Have you ever used your BPR account to do the following? " &amp;Other!AA6</f>
        <v>IFI10.5.Have you ever used your BPR account to do the following? Pay a medical bill</v>
      </c>
      <c r="C850" s="96" t="s">
        <v>864</v>
      </c>
      <c r="D850" s="54" t="s">
        <v>38</v>
      </c>
      <c r="E850" s="53">
        <v>1</v>
      </c>
      <c r="F850" s="101">
        <f t="shared" si="202"/>
        <v>1242</v>
      </c>
      <c r="G850" s="101">
        <f t="shared" si="203"/>
        <v>1242</v>
      </c>
      <c r="H850" s="10" t="s">
        <v>983</v>
      </c>
      <c r="I850" s="110" t="str">
        <f t="shared" si="205"/>
        <v>IFI10_5</v>
      </c>
    </row>
    <row r="851" spans="1:9" ht="25.5" x14ac:dyDescent="0.25">
      <c r="A851" s="110" t="s">
        <v>1049</v>
      </c>
      <c r="B851" s="90" t="str">
        <f>A851&amp;".Have you ever used your BPR account to do the following? " &amp;Other!AA7</f>
        <v xml:space="preserve">IFI10.6.Have you ever used your BPR account to do the following? Pay an utility bill (i.e electricity, water, solar, TV/cable) </v>
      </c>
      <c r="C851" s="96" t="s">
        <v>864</v>
      </c>
      <c r="D851" s="54" t="s">
        <v>38</v>
      </c>
      <c r="E851" s="53">
        <v>1</v>
      </c>
      <c r="F851" s="101">
        <f t="shared" si="202"/>
        <v>1243</v>
      </c>
      <c r="G851" s="101">
        <f t="shared" si="203"/>
        <v>1243</v>
      </c>
      <c r="H851" s="10" t="s">
        <v>983</v>
      </c>
      <c r="I851" s="110" t="str">
        <f t="shared" si="205"/>
        <v>IFI10_6</v>
      </c>
    </row>
    <row r="852" spans="1:9" ht="25.5" x14ac:dyDescent="0.25">
      <c r="A852" s="110" t="s">
        <v>1050</v>
      </c>
      <c r="B852" s="90" t="str">
        <f>A852&amp;".Have you ever used your BPR account to do the following? " &amp;Other!AA8</f>
        <v>IFI10.7.Have you ever used your BPR account to do the following? Pay rent</v>
      </c>
      <c r="C852" s="96" t="s">
        <v>864</v>
      </c>
      <c r="D852" s="54" t="s">
        <v>38</v>
      </c>
      <c r="E852" s="53">
        <v>1</v>
      </c>
      <c r="F852" s="101">
        <f t="shared" si="202"/>
        <v>1244</v>
      </c>
      <c r="G852" s="101">
        <f t="shared" si="203"/>
        <v>1244</v>
      </c>
      <c r="H852" s="10" t="s">
        <v>983</v>
      </c>
      <c r="I852" s="110" t="str">
        <f t="shared" si="205"/>
        <v>IFI10_7</v>
      </c>
    </row>
    <row r="853" spans="1:9" ht="25.5" x14ac:dyDescent="0.25">
      <c r="A853" s="110" t="s">
        <v>1051</v>
      </c>
      <c r="B853" s="90" t="str">
        <f>A853&amp;".Have you ever used your BPR account to do the following? " &amp;Other!AA9</f>
        <v>IFI10.8.Have you ever used your BPR account to do the following? Pay a government bill, including tax, fine or fee</v>
      </c>
      <c r="C853" s="96" t="s">
        <v>864</v>
      </c>
      <c r="D853" s="54" t="s">
        <v>38</v>
      </c>
      <c r="E853" s="53">
        <v>1</v>
      </c>
      <c r="F853" s="101">
        <f t="shared" si="202"/>
        <v>1245</v>
      </c>
      <c r="G853" s="101">
        <f t="shared" si="203"/>
        <v>1245</v>
      </c>
      <c r="H853" s="10" t="s">
        <v>983</v>
      </c>
      <c r="I853" s="110" t="str">
        <f t="shared" si="205"/>
        <v>IFI10_8</v>
      </c>
    </row>
    <row r="854" spans="1:9" ht="38.25" x14ac:dyDescent="0.25">
      <c r="A854" s="110" t="s">
        <v>1052</v>
      </c>
      <c r="B854" s="90" t="str">
        <f>A854&amp;".Have you ever used your BPR account to do the following? " &amp;Other!AA10</f>
        <v>IFI10.9.Have you ever used your BPR account to do the following? Send money to family members, friends, workmates or other acquaintances for regular support/allowances, to help with emergencies, or for other reasons</v>
      </c>
      <c r="C854" s="96" t="s">
        <v>864</v>
      </c>
      <c r="D854" s="54" t="s">
        <v>38</v>
      </c>
      <c r="E854" s="53">
        <v>1</v>
      </c>
      <c r="F854" s="101">
        <f t="shared" si="202"/>
        <v>1246</v>
      </c>
      <c r="G854" s="101">
        <f t="shared" si="203"/>
        <v>1246</v>
      </c>
      <c r="H854" s="10" t="s">
        <v>983</v>
      </c>
      <c r="I854" s="110" t="str">
        <f t="shared" si="205"/>
        <v>IFI10_9</v>
      </c>
    </row>
    <row r="855" spans="1:9" ht="38.25" x14ac:dyDescent="0.25">
      <c r="A855" s="110" t="s">
        <v>1053</v>
      </c>
      <c r="B855" s="90" t="str">
        <f>A855&amp;".Have you ever used your BPR account to do the following? " &amp;Other!AA11</f>
        <v>IFI10.10.Have you ever used your BPR account to do the following? Receive money from family members, friends, workmates or other acquaintances for regular support/allowances, to help with emergencies, or for other reasons</v>
      </c>
      <c r="C855" s="96" t="s">
        <v>864</v>
      </c>
      <c r="D855" s="54" t="s">
        <v>38</v>
      </c>
      <c r="E855" s="53">
        <v>1</v>
      </c>
      <c r="F855" s="101">
        <f t="shared" si="202"/>
        <v>1247</v>
      </c>
      <c r="G855" s="101">
        <f t="shared" si="203"/>
        <v>1247</v>
      </c>
      <c r="H855" s="10" t="s">
        <v>983</v>
      </c>
      <c r="I855" s="110" t="str">
        <f t="shared" ref="I855:I869" si="206">LEFT(A855,5) &amp; "_" &amp;RIGHT(A855,2)</f>
        <v>IFI10_10</v>
      </c>
    </row>
    <row r="856" spans="1:9" ht="25.5" x14ac:dyDescent="0.25">
      <c r="A856" s="110" t="s">
        <v>1054</v>
      </c>
      <c r="B856" s="90" t="str">
        <f>A856&amp;".Have you ever used your BPR account to do the following? " &amp;Other!AA12</f>
        <v xml:space="preserve">IFI10.11.Have you ever used your BPR account to do the following? Receive welfare, pension or other benefit payment from the government </v>
      </c>
      <c r="C856" s="96" t="s">
        <v>864</v>
      </c>
      <c r="D856" s="54" t="s">
        <v>38</v>
      </c>
      <c r="E856" s="53">
        <v>1</v>
      </c>
      <c r="F856" s="101">
        <f t="shared" si="202"/>
        <v>1248</v>
      </c>
      <c r="G856" s="101">
        <f t="shared" si="203"/>
        <v>1248</v>
      </c>
      <c r="H856" s="10" t="s">
        <v>983</v>
      </c>
      <c r="I856" s="110" t="str">
        <f t="shared" si="206"/>
        <v>IFI10_11</v>
      </c>
    </row>
    <row r="857" spans="1:9" ht="25.5" x14ac:dyDescent="0.25">
      <c r="A857" s="110" t="s">
        <v>1055</v>
      </c>
      <c r="B857" s="90" t="str">
        <f>A857&amp;".Have you ever used your BPR account to do the following? " &amp;Other!AA13</f>
        <v>IFI10.12.Have you ever used your BPR account to do the following? Receive wages for primary or secondary job</v>
      </c>
      <c r="C857" s="96" t="s">
        <v>864</v>
      </c>
      <c r="D857" s="54" t="s">
        <v>38</v>
      </c>
      <c r="E857" s="53">
        <v>1</v>
      </c>
      <c r="F857" s="101">
        <f t="shared" si="202"/>
        <v>1249</v>
      </c>
      <c r="G857" s="101">
        <f t="shared" si="203"/>
        <v>1249</v>
      </c>
      <c r="H857" s="10" t="s">
        <v>983</v>
      </c>
      <c r="I857" s="110" t="str">
        <f t="shared" si="206"/>
        <v>IFI10_12</v>
      </c>
    </row>
    <row r="858" spans="1:9" ht="25.5" x14ac:dyDescent="0.25">
      <c r="A858" s="110" t="s">
        <v>1056</v>
      </c>
      <c r="B858" s="90" t="str">
        <f>A858&amp;".Have you ever used your BPR account to do the following? " &amp;Other!AA14</f>
        <v>IFI10.13.Have you ever used your BPR account to do the following? Pay for large acquisitions, including land, cattle, residence</v>
      </c>
      <c r="C858" s="96" t="s">
        <v>864</v>
      </c>
      <c r="D858" s="54" t="s">
        <v>38</v>
      </c>
      <c r="E858" s="53">
        <v>1</v>
      </c>
      <c r="F858" s="101">
        <f t="shared" si="202"/>
        <v>1250</v>
      </c>
      <c r="G858" s="101">
        <f t="shared" si="203"/>
        <v>1250</v>
      </c>
      <c r="H858" s="10" t="s">
        <v>983</v>
      </c>
      <c r="I858" s="110" t="str">
        <f t="shared" si="206"/>
        <v>IFI10_13</v>
      </c>
    </row>
    <row r="859" spans="1:9" ht="25.5" x14ac:dyDescent="0.25">
      <c r="A859" s="110" t="s">
        <v>1057</v>
      </c>
      <c r="B859" s="90" t="str">
        <f>A859&amp;".Have you ever used your BPR account to do the following? " &amp;Other!AA15</f>
        <v>IFI10.14.Have you ever used your BPR account to do the following? Make insurance-related payments or receive claims on insurance</v>
      </c>
      <c r="C859" s="96" t="s">
        <v>864</v>
      </c>
      <c r="D859" s="54" t="s">
        <v>38</v>
      </c>
      <c r="E859" s="53">
        <v>1</v>
      </c>
      <c r="F859" s="101">
        <f t="shared" si="202"/>
        <v>1251</v>
      </c>
      <c r="G859" s="101">
        <f t="shared" si="203"/>
        <v>1251</v>
      </c>
      <c r="H859" s="10" t="s">
        <v>983</v>
      </c>
      <c r="I859" s="110" t="str">
        <f t="shared" si="206"/>
        <v>IFI10_14</v>
      </c>
    </row>
    <row r="860" spans="1:9" ht="25.5" x14ac:dyDescent="0.25">
      <c r="A860" s="110" t="s">
        <v>1058</v>
      </c>
      <c r="B860" s="90" t="str">
        <f>A860&amp;".Have you ever used your BPR account to do the following? " &amp;Other!AA16</f>
        <v>IFI10.15.Have you ever used your BPR account to do the following? Take a loan or make payments on a loan, give a loan or receive payments on a loan</v>
      </c>
      <c r="C860" s="96" t="s">
        <v>864</v>
      </c>
      <c r="D860" s="54" t="s">
        <v>38</v>
      </c>
      <c r="E860" s="53">
        <v>1</v>
      </c>
      <c r="F860" s="101">
        <f t="shared" si="202"/>
        <v>1252</v>
      </c>
      <c r="G860" s="101">
        <f t="shared" si="203"/>
        <v>1252</v>
      </c>
      <c r="H860" s="10" t="s">
        <v>983</v>
      </c>
      <c r="I860" s="110" t="str">
        <f t="shared" si="206"/>
        <v>IFI10_15</v>
      </c>
    </row>
    <row r="861" spans="1:9" ht="25.5" x14ac:dyDescent="0.25">
      <c r="A861" s="110" t="s">
        <v>1059</v>
      </c>
      <c r="B861" s="90" t="str">
        <f>A861&amp;".Have you ever used your BPR account to do the following? " &amp;Other!AA17</f>
        <v>IFI10.16.Have you ever used your BPR account to do the following? Save money for a future purchase or payment</v>
      </c>
      <c r="C861" s="96" t="s">
        <v>864</v>
      </c>
      <c r="D861" s="54" t="s">
        <v>38</v>
      </c>
      <c r="E861" s="53">
        <v>1</v>
      </c>
      <c r="F861" s="101">
        <f t="shared" si="202"/>
        <v>1253</v>
      </c>
      <c r="G861" s="101">
        <f t="shared" si="203"/>
        <v>1253</v>
      </c>
      <c r="H861" s="10" t="s">
        <v>983</v>
      </c>
      <c r="I861" s="110" t="str">
        <f t="shared" si="206"/>
        <v>IFI10_16</v>
      </c>
    </row>
    <row r="862" spans="1:9" ht="25.5" x14ac:dyDescent="0.25">
      <c r="A862" s="110" t="s">
        <v>1060</v>
      </c>
      <c r="B862" s="90" t="str">
        <f>A862&amp;".Have you ever used your BPR account to do the following? " &amp;Other!AA18</f>
        <v>IFI10.17.Have you ever used your BPR account to do the following? Set aside money for pension, paid pension contributions</v>
      </c>
      <c r="C862" s="96" t="s">
        <v>864</v>
      </c>
      <c r="D862" s="54" t="s">
        <v>38</v>
      </c>
      <c r="E862" s="53">
        <v>1</v>
      </c>
      <c r="F862" s="101">
        <f t="shared" si="202"/>
        <v>1254</v>
      </c>
      <c r="G862" s="101">
        <f t="shared" si="203"/>
        <v>1254</v>
      </c>
      <c r="H862" s="10" t="s">
        <v>983</v>
      </c>
      <c r="I862" s="110" t="str">
        <f t="shared" si="206"/>
        <v>IFI10_17</v>
      </c>
    </row>
    <row r="863" spans="1:9" ht="25.5" x14ac:dyDescent="0.25">
      <c r="A863" s="110" t="s">
        <v>1061</v>
      </c>
      <c r="B863" s="90" t="str">
        <f>A863&amp;".Have you ever used your BPR account to do the following? " &amp;Other!AA19</f>
        <v>IFI10.18.Have you ever used your BPR account to do the following? Set money aside just in case/for an undetermined purpose</v>
      </c>
      <c r="C863" s="96" t="s">
        <v>864</v>
      </c>
      <c r="D863" s="54" t="s">
        <v>38</v>
      </c>
      <c r="E863" s="53">
        <v>1</v>
      </c>
      <c r="F863" s="101">
        <f t="shared" si="202"/>
        <v>1255</v>
      </c>
      <c r="G863" s="101">
        <f t="shared" si="203"/>
        <v>1255</v>
      </c>
      <c r="H863" s="10" t="s">
        <v>983</v>
      </c>
      <c r="I863" s="110" t="str">
        <f t="shared" si="206"/>
        <v>IFI10_18</v>
      </c>
    </row>
    <row r="864" spans="1:9" s="3" customFormat="1" ht="25.5" x14ac:dyDescent="0.25">
      <c r="A864" s="110" t="s">
        <v>1062</v>
      </c>
      <c r="B864" s="90" t="str">
        <f>A864&amp;".Have you ever used your BPR account to do the following? " &amp;Other!AA20</f>
        <v>IFI10.19.Have you ever used your BPR account to do the following? Make an investment, including buy stock or shares</v>
      </c>
      <c r="C864" s="96" t="s">
        <v>864</v>
      </c>
      <c r="D864" s="54" t="s">
        <v>38</v>
      </c>
      <c r="E864" s="53">
        <v>1</v>
      </c>
      <c r="F864" s="101">
        <f t="shared" si="202"/>
        <v>1256</v>
      </c>
      <c r="G864" s="101">
        <f t="shared" si="203"/>
        <v>1256</v>
      </c>
      <c r="H864" s="10" t="s">
        <v>983</v>
      </c>
      <c r="I864" s="110" t="str">
        <f t="shared" si="206"/>
        <v>IFI10_19</v>
      </c>
    </row>
    <row r="865" spans="1:9" s="3" customFormat="1" ht="25.5" x14ac:dyDescent="0.25">
      <c r="A865" s="110" t="s">
        <v>1063</v>
      </c>
      <c r="B865" s="90" t="str">
        <f>A865&amp;".Have you ever used your BPR account to do the following? " &amp;Other!AA21</f>
        <v>IFI10.20.Have you ever used your BPR account to do the following? Pay for goods or services at a grocery store, clothing shop or any other store/shop</v>
      </c>
      <c r="C865" s="96" t="s">
        <v>864</v>
      </c>
      <c r="D865" s="54" t="s">
        <v>38</v>
      </c>
      <c r="E865" s="53">
        <v>1</v>
      </c>
      <c r="F865" s="101">
        <f t="shared" si="202"/>
        <v>1257</v>
      </c>
      <c r="G865" s="101">
        <f t="shared" si="203"/>
        <v>1257</v>
      </c>
      <c r="H865" s="10" t="s">
        <v>983</v>
      </c>
      <c r="I865" s="110" t="str">
        <f t="shared" si="206"/>
        <v>IFI10_20</v>
      </c>
    </row>
    <row r="866" spans="1:9" s="3" customFormat="1" ht="25.5" x14ac:dyDescent="0.25">
      <c r="A866" s="110" t="s">
        <v>1064</v>
      </c>
      <c r="B866" s="90" t="str">
        <f>A866&amp;".Have you ever used your BPR account to do the following? " &amp;Other!AA22</f>
        <v>IFI10.21.Have you ever used your BPR account to do the following? Transfer money between your account and an account with another financial institution</v>
      </c>
      <c r="C866" s="90" t="s">
        <v>864</v>
      </c>
      <c r="D866" s="53" t="s">
        <v>38</v>
      </c>
      <c r="E866" s="53">
        <v>1</v>
      </c>
      <c r="F866" s="101">
        <f t="shared" ref="F866:F928" si="207">G865+1</f>
        <v>1258</v>
      </c>
      <c r="G866" s="101">
        <f t="shared" ref="G866:G928" si="208">G865+E866</f>
        <v>1258</v>
      </c>
      <c r="H866" s="3" t="s">
        <v>983</v>
      </c>
      <c r="I866" s="101" t="str">
        <f t="shared" si="206"/>
        <v>IFI10_21</v>
      </c>
    </row>
    <row r="867" spans="1:9" ht="25.5" x14ac:dyDescent="0.25">
      <c r="A867" s="110" t="s">
        <v>1065</v>
      </c>
      <c r="B867" s="90" t="str">
        <f>A867&amp;".Have you ever used your BPR account to do the following? " &amp;Other!AA23</f>
        <v>IFI10.22.Have you ever used your BPR account to do the following? Pay money to or receive money from your Savings and/or lending group</v>
      </c>
      <c r="C867" s="90" t="s">
        <v>864</v>
      </c>
      <c r="D867" s="53" t="s">
        <v>38</v>
      </c>
      <c r="E867" s="53">
        <v>1</v>
      </c>
      <c r="F867" s="101">
        <f t="shared" si="207"/>
        <v>1259</v>
      </c>
      <c r="G867" s="101">
        <f t="shared" si="208"/>
        <v>1259</v>
      </c>
      <c r="H867" s="3" t="s">
        <v>983</v>
      </c>
      <c r="I867" s="101" t="str">
        <f t="shared" si="206"/>
        <v>IFI10_22</v>
      </c>
    </row>
    <row r="868" spans="1:9" ht="38.25" x14ac:dyDescent="0.25">
      <c r="A868" s="101" t="s">
        <v>1066</v>
      </c>
      <c r="B868" s="90" t="str">
        <f>A868&amp;".Have you ever used your BPR account to do the following? " &amp;Other!AA24</f>
        <v>IFI10.23.Have you ever used your BPR account to do the following? Account maintenance: Check your account balance, change PIN, receive mini-statement, etc.</v>
      </c>
      <c r="C868" s="90" t="s">
        <v>864</v>
      </c>
      <c r="D868" s="53" t="s">
        <v>38</v>
      </c>
      <c r="E868" s="53">
        <v>1</v>
      </c>
      <c r="F868" s="101">
        <f t="shared" si="207"/>
        <v>1260</v>
      </c>
      <c r="G868" s="101">
        <f t="shared" si="208"/>
        <v>1260</v>
      </c>
      <c r="H868" s="3" t="s">
        <v>983</v>
      </c>
      <c r="I868" s="101" t="str">
        <f t="shared" si="206"/>
        <v>IFI10_23</v>
      </c>
    </row>
    <row r="869" spans="1:9" ht="25.5" x14ac:dyDescent="0.25">
      <c r="A869" s="110" t="s">
        <v>1067</v>
      </c>
      <c r="B869" s="90" t="str">
        <f>A869&amp;".Have you ever used your BPR account to do the following? " &amp;Other!AA25</f>
        <v>IFI10.96.Have you ever used your BPR account to do the following? Other (Specify)</v>
      </c>
      <c r="C869" s="96" t="s">
        <v>864</v>
      </c>
      <c r="D869" s="54" t="s">
        <v>38</v>
      </c>
      <c r="E869" s="53">
        <v>1</v>
      </c>
      <c r="F869" s="101">
        <f t="shared" si="207"/>
        <v>1261</v>
      </c>
      <c r="G869" s="101">
        <f t="shared" si="208"/>
        <v>1261</v>
      </c>
      <c r="H869" s="10" t="s">
        <v>983</v>
      </c>
      <c r="I869" s="110" t="str">
        <f t="shared" si="206"/>
        <v>IFI10_96</v>
      </c>
    </row>
    <row r="870" spans="1:9" ht="25.5" x14ac:dyDescent="0.25">
      <c r="A870" s="110" t="s">
        <v>1068</v>
      </c>
      <c r="B870" s="90" t="str">
        <f>A870&amp;".Have you ever used your COOPERATIVE account to do the following?  "&amp;Other!AA2</f>
        <v>IFI11.1.Have you ever used your COOPERATIVE account to do the following?  Deposit money</v>
      </c>
      <c r="C870" s="96" t="s">
        <v>864</v>
      </c>
      <c r="D870" s="53" t="s">
        <v>38</v>
      </c>
      <c r="E870" s="53">
        <v>1</v>
      </c>
      <c r="F870" s="101">
        <f t="shared" si="207"/>
        <v>1262</v>
      </c>
      <c r="G870" s="101">
        <f t="shared" si="208"/>
        <v>1262</v>
      </c>
      <c r="H870" s="10" t="s">
        <v>989</v>
      </c>
      <c r="I870" s="110" t="str">
        <f t="shared" ref="I870:I878" si="209">LEFT(A870,5) &amp; "_" &amp;RIGHT(A870,1)</f>
        <v>IFI11_1</v>
      </c>
    </row>
    <row r="871" spans="1:9" ht="25.5" x14ac:dyDescent="0.25">
      <c r="A871" s="110" t="s">
        <v>1069</v>
      </c>
      <c r="B871" s="90" t="str">
        <f>A871&amp;".Have you ever used your COOPERATIVE account to do the following?  "&amp;Other!AA3</f>
        <v>IFI11.2.Have you ever used your COOPERATIVE account to do the following?  Withdraw money</v>
      </c>
      <c r="C871" s="96" t="s">
        <v>864</v>
      </c>
      <c r="D871" s="53" t="s">
        <v>38</v>
      </c>
      <c r="E871" s="53">
        <v>1</v>
      </c>
      <c r="F871" s="101">
        <f t="shared" si="207"/>
        <v>1263</v>
      </c>
      <c r="G871" s="101">
        <f t="shared" si="208"/>
        <v>1263</v>
      </c>
      <c r="H871" s="10" t="s">
        <v>989</v>
      </c>
      <c r="I871" s="110" t="str">
        <f t="shared" si="209"/>
        <v>IFI11_2</v>
      </c>
    </row>
    <row r="872" spans="1:9" ht="25.5" x14ac:dyDescent="0.25">
      <c r="A872" s="110" t="s">
        <v>1070</v>
      </c>
      <c r="B872" s="90" t="str">
        <f>A872&amp;".Have you ever used your COOPERATIVE account to do the following?  "&amp;Other!AA4</f>
        <v>IFI11.3.Have you ever used your COOPERATIVE account to do the following?  Buy airtime top-ups, pay mobile phone bill</v>
      </c>
      <c r="C872" s="96" t="s">
        <v>864</v>
      </c>
      <c r="D872" s="53" t="s">
        <v>38</v>
      </c>
      <c r="E872" s="53">
        <v>1</v>
      </c>
      <c r="F872" s="101">
        <f t="shared" si="207"/>
        <v>1264</v>
      </c>
      <c r="G872" s="101">
        <f t="shared" si="208"/>
        <v>1264</v>
      </c>
      <c r="H872" s="10" t="s">
        <v>989</v>
      </c>
      <c r="I872" s="110" t="str">
        <f t="shared" si="209"/>
        <v>IFI11_3</v>
      </c>
    </row>
    <row r="873" spans="1:9" ht="25.5" x14ac:dyDescent="0.25">
      <c r="A873" s="110" t="s">
        <v>1071</v>
      </c>
      <c r="B873" s="90" t="str">
        <f>A873&amp;".Have you ever used your COOPERATIVE account to do the following?  "&amp;Other!AA5</f>
        <v>IFI11.4.Have you ever used your COOPERATIVE account to do the following?  Pay a school fee</v>
      </c>
      <c r="C873" s="96" t="s">
        <v>864</v>
      </c>
      <c r="D873" s="54" t="s">
        <v>38</v>
      </c>
      <c r="E873" s="53">
        <v>1</v>
      </c>
      <c r="F873" s="101">
        <f t="shared" si="207"/>
        <v>1265</v>
      </c>
      <c r="G873" s="101">
        <f t="shared" si="208"/>
        <v>1265</v>
      </c>
      <c r="H873" s="10" t="s">
        <v>989</v>
      </c>
      <c r="I873" s="110" t="str">
        <f t="shared" si="209"/>
        <v>IFI11_4</v>
      </c>
    </row>
    <row r="874" spans="1:9" ht="25.5" x14ac:dyDescent="0.25">
      <c r="A874" s="110" t="s">
        <v>1072</v>
      </c>
      <c r="B874" s="90" t="str">
        <f>A874&amp;".Have you ever used your COOPERATIVE account to do the following?  "&amp;Other!AA6</f>
        <v>IFI11.5.Have you ever used your COOPERATIVE account to do the following?  Pay a medical bill</v>
      </c>
      <c r="C874" s="96" t="s">
        <v>864</v>
      </c>
      <c r="D874" s="54" t="s">
        <v>38</v>
      </c>
      <c r="E874" s="53">
        <v>1</v>
      </c>
      <c r="F874" s="101">
        <f t="shared" si="207"/>
        <v>1266</v>
      </c>
      <c r="G874" s="101">
        <f t="shared" si="208"/>
        <v>1266</v>
      </c>
      <c r="H874" s="10" t="s">
        <v>989</v>
      </c>
      <c r="I874" s="110" t="str">
        <f t="shared" si="209"/>
        <v>IFI11_5</v>
      </c>
    </row>
    <row r="875" spans="1:9" ht="25.5" x14ac:dyDescent="0.25">
      <c r="A875" s="110" t="s">
        <v>1073</v>
      </c>
      <c r="B875" s="90" t="str">
        <f>A875&amp;".Have you ever used your COOPERATIVE account to do the following?  "&amp;Other!AA7</f>
        <v xml:space="preserve">IFI11.6.Have you ever used your COOPERATIVE account to do the following?  Pay an utility bill (i.e electricity, water, solar, TV/cable) </v>
      </c>
      <c r="C875" s="96" t="s">
        <v>864</v>
      </c>
      <c r="D875" s="54" t="s">
        <v>38</v>
      </c>
      <c r="E875" s="53">
        <v>1</v>
      </c>
      <c r="F875" s="101">
        <f t="shared" si="207"/>
        <v>1267</v>
      </c>
      <c r="G875" s="101">
        <f t="shared" si="208"/>
        <v>1267</v>
      </c>
      <c r="H875" s="10" t="s">
        <v>989</v>
      </c>
      <c r="I875" s="110" t="str">
        <f t="shared" si="209"/>
        <v>IFI11_6</v>
      </c>
    </row>
    <row r="876" spans="1:9" ht="25.5" x14ac:dyDescent="0.25">
      <c r="A876" s="110" t="s">
        <v>1074</v>
      </c>
      <c r="B876" s="90" t="str">
        <f>A876&amp;".Have you ever used your COOPERATIVE account to do the following?  "&amp;Other!AA8</f>
        <v>IFI11.7.Have you ever used your COOPERATIVE account to do the following?  Pay rent</v>
      </c>
      <c r="C876" s="96" t="s">
        <v>864</v>
      </c>
      <c r="D876" s="54" t="s">
        <v>38</v>
      </c>
      <c r="E876" s="53">
        <v>1</v>
      </c>
      <c r="F876" s="101">
        <f t="shared" si="207"/>
        <v>1268</v>
      </c>
      <c r="G876" s="101">
        <f t="shared" si="208"/>
        <v>1268</v>
      </c>
      <c r="H876" s="10" t="s">
        <v>989</v>
      </c>
      <c r="I876" s="110" t="str">
        <f t="shared" si="209"/>
        <v>IFI11_7</v>
      </c>
    </row>
    <row r="877" spans="1:9" ht="25.5" x14ac:dyDescent="0.25">
      <c r="A877" s="110" t="s">
        <v>1075</v>
      </c>
      <c r="B877" s="90" t="str">
        <f>A877&amp;".Have you ever used your COOPERATIVE account to do the following?  "&amp;Other!AA9</f>
        <v>IFI11.8.Have you ever used your COOPERATIVE account to do the following?  Pay a government bill, including tax, fine or fee</v>
      </c>
      <c r="C877" s="96" t="s">
        <v>864</v>
      </c>
      <c r="D877" s="54" t="s">
        <v>38</v>
      </c>
      <c r="E877" s="53">
        <v>1</v>
      </c>
      <c r="F877" s="101">
        <f t="shared" si="207"/>
        <v>1269</v>
      </c>
      <c r="G877" s="101">
        <f t="shared" si="208"/>
        <v>1269</v>
      </c>
      <c r="H877" s="10" t="s">
        <v>989</v>
      </c>
      <c r="I877" s="110" t="str">
        <f t="shared" si="209"/>
        <v>IFI11_8</v>
      </c>
    </row>
    <row r="878" spans="1:9" ht="38.25" x14ac:dyDescent="0.25">
      <c r="A878" s="110" t="s">
        <v>1076</v>
      </c>
      <c r="B878" s="90" t="str">
        <f>A878&amp;".Have you ever used your COOPERATIVE account to do the following?  "&amp;Other!AA10</f>
        <v>IFI11.9.Have you ever used your COOPERATIVE account to do the following?  Send money to family members, friends, workmates or other acquaintances for regular support/allowances, to help with emergencies, or for other reasons</v>
      </c>
      <c r="C878" s="96" t="s">
        <v>864</v>
      </c>
      <c r="D878" s="54" t="s">
        <v>38</v>
      </c>
      <c r="E878" s="53">
        <v>1</v>
      </c>
      <c r="F878" s="101">
        <f t="shared" si="207"/>
        <v>1270</v>
      </c>
      <c r="G878" s="101">
        <f t="shared" si="208"/>
        <v>1270</v>
      </c>
      <c r="H878" s="10" t="s">
        <v>989</v>
      </c>
      <c r="I878" s="110" t="str">
        <f t="shared" si="209"/>
        <v>IFI11_9</v>
      </c>
    </row>
    <row r="879" spans="1:9" ht="38.25" x14ac:dyDescent="0.25">
      <c r="A879" s="110" t="s">
        <v>1077</v>
      </c>
      <c r="B879" s="90" t="str">
        <f>A879&amp;".Have you ever used your COOPERATIVE account to do the following?  "&amp;Other!AA11</f>
        <v>IFI11.10.Have you ever used your COOPERATIVE account to do the following?  Receive money from family members, friends, workmates or other acquaintances for regular support/allowances, to help with emergencies, or for other reasons</v>
      </c>
      <c r="C879" s="96" t="s">
        <v>864</v>
      </c>
      <c r="D879" s="54" t="s">
        <v>38</v>
      </c>
      <c r="E879" s="53">
        <v>1</v>
      </c>
      <c r="F879" s="101">
        <f t="shared" si="207"/>
        <v>1271</v>
      </c>
      <c r="G879" s="101">
        <f t="shared" si="208"/>
        <v>1271</v>
      </c>
      <c r="H879" s="10" t="s">
        <v>989</v>
      </c>
      <c r="I879" s="110" t="str">
        <f t="shared" ref="I879:I893" si="210">LEFT(A879,5) &amp; "_" &amp;RIGHT(A879,2)</f>
        <v>IFI11_10</v>
      </c>
    </row>
    <row r="880" spans="1:9" ht="25.5" x14ac:dyDescent="0.25">
      <c r="A880" s="110" t="s">
        <v>1078</v>
      </c>
      <c r="B880" s="90" t="str">
        <f>A880&amp;".Have you ever used your COOPERATIVE account to do the following?  "&amp;Other!AA12</f>
        <v xml:space="preserve">IFI11.11.Have you ever used your COOPERATIVE account to do the following?  Receive welfare, pension or other benefit payment from the government </v>
      </c>
      <c r="C880" s="96" t="s">
        <v>864</v>
      </c>
      <c r="D880" s="54" t="s">
        <v>38</v>
      </c>
      <c r="E880" s="53">
        <v>1</v>
      </c>
      <c r="F880" s="101">
        <f t="shared" si="207"/>
        <v>1272</v>
      </c>
      <c r="G880" s="101">
        <f t="shared" si="208"/>
        <v>1272</v>
      </c>
      <c r="H880" s="10" t="s">
        <v>989</v>
      </c>
      <c r="I880" s="110" t="str">
        <f t="shared" si="210"/>
        <v>IFI11_11</v>
      </c>
    </row>
    <row r="881" spans="1:9" ht="25.5" x14ac:dyDescent="0.25">
      <c r="A881" s="110" t="s">
        <v>1079</v>
      </c>
      <c r="B881" s="90" t="str">
        <f>A881&amp;".Have you ever used your COOPERATIVE account to do the following?  "&amp;Other!AA13</f>
        <v>IFI11.12.Have you ever used your COOPERATIVE account to do the following?  Receive wages for primary or secondary job</v>
      </c>
      <c r="C881" s="96" t="s">
        <v>864</v>
      </c>
      <c r="D881" s="54" t="s">
        <v>38</v>
      </c>
      <c r="E881" s="53">
        <v>1</v>
      </c>
      <c r="F881" s="101">
        <f t="shared" si="207"/>
        <v>1273</v>
      </c>
      <c r="G881" s="101">
        <f t="shared" si="208"/>
        <v>1273</v>
      </c>
      <c r="H881" s="10" t="s">
        <v>989</v>
      </c>
      <c r="I881" s="110" t="str">
        <f t="shared" si="210"/>
        <v>IFI11_12</v>
      </c>
    </row>
    <row r="882" spans="1:9" ht="25.5" x14ac:dyDescent="0.25">
      <c r="A882" s="110" t="s">
        <v>1080</v>
      </c>
      <c r="B882" s="90" t="str">
        <f>A882&amp;".Have you ever used your COOPERATIVE account to do the following?  "&amp;Other!AA14</f>
        <v>IFI11.13.Have you ever used your COOPERATIVE account to do the following?  Pay for large acquisitions, including land, cattle, residence</v>
      </c>
      <c r="C882" s="96" t="s">
        <v>864</v>
      </c>
      <c r="D882" s="54" t="s">
        <v>38</v>
      </c>
      <c r="E882" s="53">
        <v>1</v>
      </c>
      <c r="F882" s="101">
        <f t="shared" si="207"/>
        <v>1274</v>
      </c>
      <c r="G882" s="101">
        <f t="shared" si="208"/>
        <v>1274</v>
      </c>
      <c r="H882" s="10" t="s">
        <v>989</v>
      </c>
      <c r="I882" s="110" t="str">
        <f t="shared" si="210"/>
        <v>IFI11_13</v>
      </c>
    </row>
    <row r="883" spans="1:9" ht="25.5" x14ac:dyDescent="0.25">
      <c r="A883" s="110" t="s">
        <v>1081</v>
      </c>
      <c r="B883" s="90" t="str">
        <f>A883&amp;".Have you ever used your COOPERATIVE account to do the following?  "&amp;Other!AA15</f>
        <v>IFI11.14.Have you ever used your COOPERATIVE account to do the following?  Make insurance-related payments or receive claims on insurance</v>
      </c>
      <c r="C883" s="96" t="s">
        <v>864</v>
      </c>
      <c r="D883" s="54" t="s">
        <v>38</v>
      </c>
      <c r="E883" s="53">
        <v>1</v>
      </c>
      <c r="F883" s="101">
        <f t="shared" si="207"/>
        <v>1275</v>
      </c>
      <c r="G883" s="101">
        <f t="shared" si="208"/>
        <v>1275</v>
      </c>
      <c r="H883" s="10" t="s">
        <v>989</v>
      </c>
      <c r="I883" s="110" t="str">
        <f t="shared" si="210"/>
        <v>IFI11_14</v>
      </c>
    </row>
    <row r="884" spans="1:9" ht="25.5" x14ac:dyDescent="0.25">
      <c r="A884" s="110" t="s">
        <v>1082</v>
      </c>
      <c r="B884" s="90" t="str">
        <f>A884&amp;".Have you ever used your COOPERATIVE account to do the following?  "&amp;Other!AA16</f>
        <v>IFI11.15.Have you ever used your COOPERATIVE account to do the following?  Take a loan or make payments on a loan, give a loan or receive payments on a loan</v>
      </c>
      <c r="C884" s="96" t="s">
        <v>864</v>
      </c>
      <c r="D884" s="54" t="s">
        <v>38</v>
      </c>
      <c r="E884" s="53">
        <v>1</v>
      </c>
      <c r="F884" s="101">
        <f t="shared" si="207"/>
        <v>1276</v>
      </c>
      <c r="G884" s="101">
        <f t="shared" si="208"/>
        <v>1276</v>
      </c>
      <c r="H884" s="10" t="s">
        <v>989</v>
      </c>
      <c r="I884" s="110" t="str">
        <f t="shared" si="210"/>
        <v>IFI11_15</v>
      </c>
    </row>
    <row r="885" spans="1:9" ht="25.5" x14ac:dyDescent="0.25">
      <c r="A885" s="110" t="s">
        <v>1083</v>
      </c>
      <c r="B885" s="90" t="str">
        <f>A885&amp;".Have you ever used your COOPERATIVE account to do the following?  "&amp;Other!AA17</f>
        <v>IFI11.16.Have you ever used your COOPERATIVE account to do the following?  Save money for a future purchase or payment</v>
      </c>
      <c r="C885" s="96" t="s">
        <v>864</v>
      </c>
      <c r="D885" s="54" t="s">
        <v>38</v>
      </c>
      <c r="E885" s="53">
        <v>1</v>
      </c>
      <c r="F885" s="101">
        <f t="shared" si="207"/>
        <v>1277</v>
      </c>
      <c r="G885" s="101">
        <f t="shared" si="208"/>
        <v>1277</v>
      </c>
      <c r="H885" s="10" t="s">
        <v>989</v>
      </c>
      <c r="I885" s="110" t="str">
        <f t="shared" si="210"/>
        <v>IFI11_16</v>
      </c>
    </row>
    <row r="886" spans="1:9" ht="25.5" x14ac:dyDescent="0.25">
      <c r="A886" s="110" t="s">
        <v>1084</v>
      </c>
      <c r="B886" s="90" t="str">
        <f>A886&amp;".Have you ever used your COOPERATIVE account to do the following?  "&amp;Other!AA18</f>
        <v>IFI11.17.Have you ever used your COOPERATIVE account to do the following?  Set aside money for pension, paid pension contributions</v>
      </c>
      <c r="C886" s="96" t="s">
        <v>864</v>
      </c>
      <c r="D886" s="54" t="s">
        <v>38</v>
      </c>
      <c r="E886" s="53">
        <v>1</v>
      </c>
      <c r="F886" s="101">
        <f t="shared" si="207"/>
        <v>1278</v>
      </c>
      <c r="G886" s="101">
        <f t="shared" si="208"/>
        <v>1278</v>
      </c>
      <c r="H886" s="10" t="s">
        <v>989</v>
      </c>
      <c r="I886" s="110" t="str">
        <f t="shared" si="210"/>
        <v>IFI11_17</v>
      </c>
    </row>
    <row r="887" spans="1:9" ht="25.5" x14ac:dyDescent="0.25">
      <c r="A887" s="110" t="s">
        <v>1085</v>
      </c>
      <c r="B887" s="90" t="str">
        <f>A887&amp;".Have you ever used your COOPERATIVE account to do the following?  "&amp;Other!AA19</f>
        <v>IFI11.18.Have you ever used your COOPERATIVE account to do the following?  Set money aside just in case/for an undetermined purpose</v>
      </c>
      <c r="C887" s="96" t="s">
        <v>864</v>
      </c>
      <c r="D887" s="54" t="s">
        <v>38</v>
      </c>
      <c r="E887" s="53">
        <v>1</v>
      </c>
      <c r="F887" s="101">
        <f t="shared" si="207"/>
        <v>1279</v>
      </c>
      <c r="G887" s="101">
        <f t="shared" si="208"/>
        <v>1279</v>
      </c>
      <c r="H887" s="10" t="s">
        <v>989</v>
      </c>
      <c r="I887" s="110" t="str">
        <f t="shared" si="210"/>
        <v>IFI11_18</v>
      </c>
    </row>
    <row r="888" spans="1:9" s="3" customFormat="1" ht="25.5" x14ac:dyDescent="0.25">
      <c r="A888" s="110" t="s">
        <v>1086</v>
      </c>
      <c r="B888" s="90" t="str">
        <f>A888&amp;".Have you ever used your COOPERATIVE account to do the following?  "&amp;Other!AA20</f>
        <v>IFI11.19.Have you ever used your COOPERATIVE account to do the following?  Make an investment, including buy stock or shares</v>
      </c>
      <c r="C888" s="96" t="s">
        <v>864</v>
      </c>
      <c r="D888" s="54" t="s">
        <v>38</v>
      </c>
      <c r="E888" s="53">
        <v>1</v>
      </c>
      <c r="F888" s="101">
        <f t="shared" si="207"/>
        <v>1280</v>
      </c>
      <c r="G888" s="101">
        <f t="shared" si="208"/>
        <v>1280</v>
      </c>
      <c r="H888" s="10" t="s">
        <v>989</v>
      </c>
      <c r="I888" s="110" t="str">
        <f t="shared" si="210"/>
        <v>IFI11_19</v>
      </c>
    </row>
    <row r="889" spans="1:9" s="3" customFormat="1" ht="25.5" x14ac:dyDescent="0.25">
      <c r="A889" s="110" t="s">
        <v>1087</v>
      </c>
      <c r="B889" s="90" t="str">
        <f>A889&amp;".Have you ever used your COOPERATIVE account to do the following?  "&amp;Other!AA21</f>
        <v>IFI11.20.Have you ever used your COOPERATIVE account to do the following?  Pay for goods or services at a grocery store, clothing shop or any other store/shop</v>
      </c>
      <c r="C889" s="96" t="s">
        <v>864</v>
      </c>
      <c r="D889" s="54" t="s">
        <v>38</v>
      </c>
      <c r="E889" s="53">
        <v>1</v>
      </c>
      <c r="F889" s="101">
        <f t="shared" si="207"/>
        <v>1281</v>
      </c>
      <c r="G889" s="101">
        <f t="shared" si="208"/>
        <v>1281</v>
      </c>
      <c r="H889" s="10" t="s">
        <v>989</v>
      </c>
      <c r="I889" s="110" t="str">
        <f t="shared" si="210"/>
        <v>IFI11_20</v>
      </c>
    </row>
    <row r="890" spans="1:9" s="3" customFormat="1" ht="38.25" x14ac:dyDescent="0.25">
      <c r="A890" s="101" t="s">
        <v>1088</v>
      </c>
      <c r="B890" s="90" t="str">
        <f>A890&amp;".Have you ever used your COOPERATIVE account to do the following?  "&amp;Other!AA22</f>
        <v>IFI11.21.Have you ever used your COOPERATIVE account to do the following?  Transfer money between your account and an account with another financial institution</v>
      </c>
      <c r="C890" s="90" t="s">
        <v>864</v>
      </c>
      <c r="D890" s="53" t="s">
        <v>38</v>
      </c>
      <c r="E890" s="53">
        <v>1</v>
      </c>
      <c r="F890" s="101">
        <f t="shared" si="207"/>
        <v>1282</v>
      </c>
      <c r="G890" s="101">
        <f t="shared" si="208"/>
        <v>1282</v>
      </c>
      <c r="H890" s="10" t="s">
        <v>989</v>
      </c>
      <c r="I890" s="101" t="str">
        <f t="shared" si="210"/>
        <v>IFI11_21</v>
      </c>
    </row>
    <row r="891" spans="1:9" ht="25.5" x14ac:dyDescent="0.25">
      <c r="A891" s="101" t="s">
        <v>1089</v>
      </c>
      <c r="B891" s="90" t="str">
        <f>A891&amp;".Have you ever used your COOPERATIVE account to do the following?  "&amp;Other!AA23</f>
        <v>IFI11.22.Have you ever used your COOPERATIVE account to do the following?  Pay money to or receive money from your Savings and/or lending group</v>
      </c>
      <c r="C891" s="90" t="s">
        <v>864</v>
      </c>
      <c r="D891" s="54" t="s">
        <v>38</v>
      </c>
      <c r="E891" s="53">
        <v>1</v>
      </c>
      <c r="F891" s="101">
        <f t="shared" si="207"/>
        <v>1283</v>
      </c>
      <c r="G891" s="101">
        <f t="shared" si="208"/>
        <v>1283</v>
      </c>
      <c r="H891" s="10" t="s">
        <v>989</v>
      </c>
      <c r="I891" s="101" t="str">
        <f t="shared" si="210"/>
        <v>IFI11_22</v>
      </c>
    </row>
    <row r="892" spans="1:9" ht="38.25" x14ac:dyDescent="0.25">
      <c r="A892" s="101" t="s">
        <v>1090</v>
      </c>
      <c r="B892" s="90" t="str">
        <f>A892&amp;".Have you ever used your COOPERATIVE account to do the following?  "&amp;Other!AA24</f>
        <v>IFI11.23.Have you ever used your COOPERATIVE account to do the following?  Account maintenance: Check your account balance, change PIN, receive mini-statement, etc.</v>
      </c>
      <c r="C892" s="90" t="s">
        <v>864</v>
      </c>
      <c r="D892" s="54" t="s">
        <v>38</v>
      </c>
      <c r="E892" s="53">
        <v>1</v>
      </c>
      <c r="F892" s="101">
        <f t="shared" si="207"/>
        <v>1284</v>
      </c>
      <c r="G892" s="101">
        <f t="shared" si="208"/>
        <v>1284</v>
      </c>
      <c r="H892" s="10" t="s">
        <v>989</v>
      </c>
      <c r="I892" s="101" t="str">
        <f t="shared" si="210"/>
        <v>IFI11_23</v>
      </c>
    </row>
    <row r="893" spans="1:9" ht="25.5" x14ac:dyDescent="0.25">
      <c r="A893" s="110" t="s">
        <v>1091</v>
      </c>
      <c r="B893" s="90" t="str">
        <f>A893&amp;".Have you ever used your COOPERATIVE account to do the following?  "&amp;Other!AA25</f>
        <v>IFI11.96.Have you ever used your COOPERATIVE account to do the following?  Other (Specify)</v>
      </c>
      <c r="C893" s="96" t="s">
        <v>864</v>
      </c>
      <c r="D893" s="54" t="s">
        <v>38</v>
      </c>
      <c r="E893" s="53">
        <v>1</v>
      </c>
      <c r="F893" s="101">
        <f t="shared" si="207"/>
        <v>1285</v>
      </c>
      <c r="G893" s="101">
        <f t="shared" si="208"/>
        <v>1285</v>
      </c>
      <c r="H893" s="10" t="s">
        <v>989</v>
      </c>
      <c r="I893" s="110" t="str">
        <f t="shared" si="210"/>
        <v>IFI11_96</v>
      </c>
    </row>
    <row r="894" spans="1:9" ht="25.5" x14ac:dyDescent="0.25">
      <c r="A894" s="110" t="s">
        <v>1092</v>
      </c>
      <c r="B894" s="90" t="str">
        <f>A894&amp;".Have you ever used your PAWNSHOP account to do the following? "&amp;Other!AA2</f>
        <v>IFI12.1.Have you ever used your PAWNSHOP account to do the following? Deposit money</v>
      </c>
      <c r="C894" s="96" t="s">
        <v>864</v>
      </c>
      <c r="D894" s="54" t="s">
        <v>38</v>
      </c>
      <c r="E894" s="53">
        <v>1</v>
      </c>
      <c r="F894" s="101">
        <f t="shared" si="207"/>
        <v>1286</v>
      </c>
      <c r="G894" s="101">
        <f t="shared" si="208"/>
        <v>1286</v>
      </c>
      <c r="H894" s="3" t="s">
        <v>995</v>
      </c>
      <c r="I894" s="110" t="str">
        <f t="shared" ref="I894:I902" si="211">LEFT(A894,5) &amp; "_" &amp;RIGHT(A894,1)</f>
        <v>IFI12_1</v>
      </c>
    </row>
    <row r="895" spans="1:9" ht="25.5" x14ac:dyDescent="0.25">
      <c r="A895" s="110" t="s">
        <v>1093</v>
      </c>
      <c r="B895" s="90" t="str">
        <f>A895&amp;".Have you ever used your PAWNSHOP account to do the following? "&amp;Other!AA3</f>
        <v>IFI12.2.Have you ever used your PAWNSHOP account to do the following? Withdraw money</v>
      </c>
      <c r="C895" s="96" t="s">
        <v>864</v>
      </c>
      <c r="D895" s="53" t="s">
        <v>38</v>
      </c>
      <c r="E895" s="53">
        <v>1</v>
      </c>
      <c r="F895" s="101">
        <f t="shared" si="207"/>
        <v>1287</v>
      </c>
      <c r="G895" s="101">
        <f t="shared" si="208"/>
        <v>1287</v>
      </c>
      <c r="H895" s="3" t="s">
        <v>995</v>
      </c>
      <c r="I895" s="110" t="str">
        <f t="shared" si="211"/>
        <v>IFI12_2</v>
      </c>
    </row>
    <row r="896" spans="1:9" ht="25.5" x14ac:dyDescent="0.25">
      <c r="A896" s="110" t="s">
        <v>1094</v>
      </c>
      <c r="B896" s="90" t="str">
        <f>A896&amp;".Have you ever used your PAWNSHOP account to do the following? "&amp;Other!AA4</f>
        <v>IFI12.3.Have you ever used your PAWNSHOP account to do the following? Buy airtime top-ups, pay mobile phone bill</v>
      </c>
      <c r="C896" s="96" t="s">
        <v>864</v>
      </c>
      <c r="D896" s="54" t="s">
        <v>38</v>
      </c>
      <c r="E896" s="53">
        <v>1</v>
      </c>
      <c r="F896" s="101">
        <f t="shared" si="207"/>
        <v>1288</v>
      </c>
      <c r="G896" s="101">
        <f t="shared" si="208"/>
        <v>1288</v>
      </c>
      <c r="H896" s="3" t="s">
        <v>995</v>
      </c>
      <c r="I896" s="110" t="str">
        <f t="shared" si="211"/>
        <v>IFI12_3</v>
      </c>
    </row>
    <row r="897" spans="1:9" ht="25.5" x14ac:dyDescent="0.25">
      <c r="A897" s="110" t="s">
        <v>1095</v>
      </c>
      <c r="B897" s="90" t="str">
        <f>A897&amp;".Have you ever used your PAWNSHOP account to do the following? "&amp;Other!AA5</f>
        <v>IFI12.4.Have you ever used your PAWNSHOP account to do the following? Pay a school fee</v>
      </c>
      <c r="C897" s="96" t="s">
        <v>864</v>
      </c>
      <c r="D897" s="54" t="s">
        <v>38</v>
      </c>
      <c r="E897" s="53">
        <v>1</v>
      </c>
      <c r="F897" s="101">
        <f t="shared" si="207"/>
        <v>1289</v>
      </c>
      <c r="G897" s="101">
        <f t="shared" si="208"/>
        <v>1289</v>
      </c>
      <c r="H897" s="3" t="s">
        <v>995</v>
      </c>
      <c r="I897" s="110" t="str">
        <f t="shared" si="211"/>
        <v>IFI12_4</v>
      </c>
    </row>
    <row r="898" spans="1:9" ht="25.5" x14ac:dyDescent="0.25">
      <c r="A898" s="110" t="s">
        <v>1096</v>
      </c>
      <c r="B898" s="90" t="str">
        <f>A898&amp;".Have you ever used your PAWNSHOP account to do the following? "&amp;Other!AA6</f>
        <v>IFI12.5.Have you ever used your PAWNSHOP account to do the following? Pay a medical bill</v>
      </c>
      <c r="C898" s="96" t="s">
        <v>864</v>
      </c>
      <c r="D898" s="54" t="s">
        <v>38</v>
      </c>
      <c r="E898" s="53">
        <v>1</v>
      </c>
      <c r="F898" s="101">
        <f t="shared" si="207"/>
        <v>1290</v>
      </c>
      <c r="G898" s="101">
        <f t="shared" si="208"/>
        <v>1290</v>
      </c>
      <c r="H898" s="3" t="s">
        <v>995</v>
      </c>
      <c r="I898" s="110" t="str">
        <f t="shared" si="211"/>
        <v>IFI12_5</v>
      </c>
    </row>
    <row r="899" spans="1:9" ht="25.5" x14ac:dyDescent="0.25">
      <c r="A899" s="110" t="s">
        <v>1097</v>
      </c>
      <c r="B899" s="90" t="str">
        <f>A899&amp;".Have you ever used your PAWNSHOP account to do the following? "&amp;Other!AA7</f>
        <v xml:space="preserve">IFI12.6.Have you ever used your PAWNSHOP account to do the following? Pay an utility bill (i.e electricity, water, solar, TV/cable) </v>
      </c>
      <c r="C899" s="96" t="s">
        <v>864</v>
      </c>
      <c r="D899" s="54" t="s">
        <v>38</v>
      </c>
      <c r="E899" s="53">
        <v>1</v>
      </c>
      <c r="F899" s="101">
        <f t="shared" si="207"/>
        <v>1291</v>
      </c>
      <c r="G899" s="101">
        <f t="shared" si="208"/>
        <v>1291</v>
      </c>
      <c r="H899" s="3" t="s">
        <v>995</v>
      </c>
      <c r="I899" s="110" t="str">
        <f t="shared" si="211"/>
        <v>IFI12_6</v>
      </c>
    </row>
    <row r="900" spans="1:9" ht="25.5" x14ac:dyDescent="0.25">
      <c r="A900" s="110" t="s">
        <v>1098</v>
      </c>
      <c r="B900" s="90" t="str">
        <f>A900&amp;".Have you ever used your PAWNSHOP account to do the following? "&amp;Other!AA8</f>
        <v>IFI12.7.Have you ever used your PAWNSHOP account to do the following? Pay rent</v>
      </c>
      <c r="C900" s="96" t="s">
        <v>864</v>
      </c>
      <c r="D900" s="54" t="s">
        <v>38</v>
      </c>
      <c r="E900" s="53">
        <v>1</v>
      </c>
      <c r="F900" s="101">
        <f t="shared" si="207"/>
        <v>1292</v>
      </c>
      <c r="G900" s="101">
        <f t="shared" si="208"/>
        <v>1292</v>
      </c>
      <c r="H900" s="3" t="s">
        <v>995</v>
      </c>
      <c r="I900" s="110" t="str">
        <f t="shared" si="211"/>
        <v>IFI12_7</v>
      </c>
    </row>
    <row r="901" spans="1:9" ht="25.5" x14ac:dyDescent="0.25">
      <c r="A901" s="110" t="s">
        <v>1099</v>
      </c>
      <c r="B901" s="90" t="str">
        <f>A901&amp;".Have you ever used your PAWNSHOP account to do the following? "&amp;Other!AA9</f>
        <v>IFI12.8.Have you ever used your PAWNSHOP account to do the following? Pay a government bill, including tax, fine or fee</v>
      </c>
      <c r="C901" s="96" t="s">
        <v>864</v>
      </c>
      <c r="D901" s="54" t="s">
        <v>38</v>
      </c>
      <c r="E901" s="53">
        <v>1</v>
      </c>
      <c r="F901" s="101">
        <f t="shared" si="207"/>
        <v>1293</v>
      </c>
      <c r="G901" s="101">
        <f t="shared" si="208"/>
        <v>1293</v>
      </c>
      <c r="H901" s="3" t="s">
        <v>995</v>
      </c>
      <c r="I901" s="110" t="str">
        <f t="shared" si="211"/>
        <v>IFI12_8</v>
      </c>
    </row>
    <row r="902" spans="1:9" ht="38.25" x14ac:dyDescent="0.25">
      <c r="A902" s="110" t="s">
        <v>1100</v>
      </c>
      <c r="B902" s="90" t="str">
        <f>A902&amp;".Have you ever used your PAWNSHOP account to do the following? "&amp;Other!AA10</f>
        <v>IFI12.9.Have you ever used your PAWNSHOP account to do the following? Send money to family members, friends, workmates or other acquaintances for regular support/allowances, to help with emergencies, or for other reasons</v>
      </c>
      <c r="C902" s="96" t="s">
        <v>864</v>
      </c>
      <c r="D902" s="54" t="s">
        <v>38</v>
      </c>
      <c r="E902" s="53">
        <v>1</v>
      </c>
      <c r="F902" s="101">
        <f t="shared" si="207"/>
        <v>1294</v>
      </c>
      <c r="G902" s="101">
        <f t="shared" si="208"/>
        <v>1294</v>
      </c>
      <c r="H902" s="3" t="s">
        <v>995</v>
      </c>
      <c r="I902" s="110" t="str">
        <f t="shared" si="211"/>
        <v>IFI12_9</v>
      </c>
    </row>
    <row r="903" spans="1:9" ht="38.25" x14ac:dyDescent="0.25">
      <c r="A903" s="110" t="s">
        <v>1101</v>
      </c>
      <c r="B903" s="90" t="str">
        <f>A903&amp;".Have you ever used your PAWNSHOP account to do the following? "&amp;Other!AA11</f>
        <v>IFI12.10.Have you ever used your PAWNSHOP account to do the following? Receive money from family members, friends, workmates or other acquaintances for regular support/allowances, to help with emergencies, or for other reasons</v>
      </c>
      <c r="C903" s="96" t="s">
        <v>864</v>
      </c>
      <c r="D903" s="54" t="s">
        <v>38</v>
      </c>
      <c r="E903" s="53">
        <v>1</v>
      </c>
      <c r="F903" s="101">
        <f t="shared" si="207"/>
        <v>1295</v>
      </c>
      <c r="G903" s="101">
        <f t="shared" si="208"/>
        <v>1295</v>
      </c>
      <c r="H903" s="3" t="s">
        <v>995</v>
      </c>
      <c r="I903" s="110" t="str">
        <f t="shared" ref="I903:I917" si="212">LEFT(A903,5) &amp; "_" &amp;RIGHT(A903,2)</f>
        <v>IFI12_10</v>
      </c>
    </row>
    <row r="904" spans="1:9" ht="25.5" x14ac:dyDescent="0.25">
      <c r="A904" s="110" t="s">
        <v>1102</v>
      </c>
      <c r="B904" s="90" t="str">
        <f>A904&amp;".Have you ever used your PAWNSHOP account to do the following? "&amp;Other!AA12</f>
        <v xml:space="preserve">IFI12.11.Have you ever used your PAWNSHOP account to do the following? Receive welfare, pension or other benefit payment from the government </v>
      </c>
      <c r="C904" s="96" t="s">
        <v>864</v>
      </c>
      <c r="D904" s="54" t="s">
        <v>38</v>
      </c>
      <c r="E904" s="53">
        <v>1</v>
      </c>
      <c r="F904" s="101">
        <f t="shared" si="207"/>
        <v>1296</v>
      </c>
      <c r="G904" s="101">
        <f t="shared" si="208"/>
        <v>1296</v>
      </c>
      <c r="H904" s="3" t="s">
        <v>995</v>
      </c>
      <c r="I904" s="110" t="str">
        <f t="shared" si="212"/>
        <v>IFI12_11</v>
      </c>
    </row>
    <row r="905" spans="1:9" ht="25.5" x14ac:dyDescent="0.25">
      <c r="A905" s="110" t="s">
        <v>1103</v>
      </c>
      <c r="B905" s="90" t="str">
        <f>A905&amp;".Have you ever used your PAWNSHOP account to do the following? "&amp;Other!AA13</f>
        <v>IFI12.12.Have you ever used your PAWNSHOP account to do the following? Receive wages for primary or secondary job</v>
      </c>
      <c r="C905" s="96" t="s">
        <v>864</v>
      </c>
      <c r="D905" s="54" t="s">
        <v>38</v>
      </c>
      <c r="E905" s="53">
        <v>1</v>
      </c>
      <c r="F905" s="101">
        <f t="shared" si="207"/>
        <v>1297</v>
      </c>
      <c r="G905" s="101">
        <f t="shared" si="208"/>
        <v>1297</v>
      </c>
      <c r="H905" s="3" t="s">
        <v>995</v>
      </c>
      <c r="I905" s="110" t="str">
        <f t="shared" si="212"/>
        <v>IFI12_12</v>
      </c>
    </row>
    <row r="906" spans="1:9" ht="25.5" x14ac:dyDescent="0.25">
      <c r="A906" s="110" t="s">
        <v>1104</v>
      </c>
      <c r="B906" s="90" t="str">
        <f>A906&amp;".Have you ever used your PAWNSHOP account to do the following? "&amp;Other!AA14</f>
        <v>IFI12.13.Have you ever used your PAWNSHOP account to do the following? Pay for large acquisitions, including land, cattle, residence</v>
      </c>
      <c r="C906" s="96" t="s">
        <v>864</v>
      </c>
      <c r="D906" s="54" t="s">
        <v>38</v>
      </c>
      <c r="E906" s="53">
        <v>1</v>
      </c>
      <c r="F906" s="101">
        <f t="shared" si="207"/>
        <v>1298</v>
      </c>
      <c r="G906" s="101">
        <f t="shared" si="208"/>
        <v>1298</v>
      </c>
      <c r="H906" s="3" t="s">
        <v>995</v>
      </c>
      <c r="I906" s="110" t="str">
        <f t="shared" si="212"/>
        <v>IFI12_13</v>
      </c>
    </row>
    <row r="907" spans="1:9" ht="25.5" x14ac:dyDescent="0.25">
      <c r="A907" s="110" t="s">
        <v>1105</v>
      </c>
      <c r="B907" s="90" t="str">
        <f>A907&amp;".Have you ever used your PAWNSHOP account to do the following? "&amp;Other!AA15</f>
        <v>IFI12.14.Have you ever used your PAWNSHOP account to do the following? Make insurance-related payments or receive claims on insurance</v>
      </c>
      <c r="C907" s="96" t="s">
        <v>864</v>
      </c>
      <c r="D907" s="54" t="s">
        <v>38</v>
      </c>
      <c r="E907" s="53">
        <v>1</v>
      </c>
      <c r="F907" s="101">
        <f t="shared" si="207"/>
        <v>1299</v>
      </c>
      <c r="G907" s="101">
        <f t="shared" si="208"/>
        <v>1299</v>
      </c>
      <c r="H907" s="3" t="s">
        <v>995</v>
      </c>
      <c r="I907" s="110" t="str">
        <f t="shared" si="212"/>
        <v>IFI12_14</v>
      </c>
    </row>
    <row r="908" spans="1:9" ht="25.5" x14ac:dyDescent="0.25">
      <c r="A908" s="110" t="s">
        <v>1106</v>
      </c>
      <c r="B908" s="90" t="str">
        <f>A908&amp;".Have you ever used your PAWNSHOP account to do the following? "&amp;Other!AA16</f>
        <v>IFI12.15.Have you ever used your PAWNSHOP account to do the following? Take a loan or make payments on a loan, give a loan or receive payments on a loan</v>
      </c>
      <c r="C908" s="96" t="s">
        <v>864</v>
      </c>
      <c r="D908" s="54" t="s">
        <v>38</v>
      </c>
      <c r="E908" s="53">
        <v>1</v>
      </c>
      <c r="F908" s="101">
        <f t="shared" si="207"/>
        <v>1300</v>
      </c>
      <c r="G908" s="101">
        <f t="shared" si="208"/>
        <v>1300</v>
      </c>
      <c r="H908" s="3" t="s">
        <v>995</v>
      </c>
      <c r="I908" s="110" t="str">
        <f t="shared" si="212"/>
        <v>IFI12_15</v>
      </c>
    </row>
    <row r="909" spans="1:9" ht="25.5" x14ac:dyDescent="0.25">
      <c r="A909" s="110" t="s">
        <v>1107</v>
      </c>
      <c r="B909" s="90" t="str">
        <f>A909&amp;".Have you ever used your PAWNSHOP account to do the following? "&amp;Other!AA17</f>
        <v>IFI12.16.Have you ever used your PAWNSHOP account to do the following? Save money for a future purchase or payment</v>
      </c>
      <c r="C909" s="96" t="s">
        <v>864</v>
      </c>
      <c r="D909" s="54" t="s">
        <v>38</v>
      </c>
      <c r="E909" s="53">
        <v>1</v>
      </c>
      <c r="F909" s="101">
        <f t="shared" si="207"/>
        <v>1301</v>
      </c>
      <c r="G909" s="101">
        <f t="shared" si="208"/>
        <v>1301</v>
      </c>
      <c r="H909" s="3" t="s">
        <v>995</v>
      </c>
      <c r="I909" s="110" t="str">
        <f t="shared" si="212"/>
        <v>IFI12_16</v>
      </c>
    </row>
    <row r="910" spans="1:9" ht="25.5" x14ac:dyDescent="0.25">
      <c r="A910" s="110" t="s">
        <v>1108</v>
      </c>
      <c r="B910" s="90" t="str">
        <f>A910&amp;".Have you ever used your PAWNSHOP account to do the following? "&amp;Other!AA18</f>
        <v>IFI12.17.Have you ever used your PAWNSHOP account to do the following? Set aside money for pension, paid pension contributions</v>
      </c>
      <c r="C910" s="96" t="s">
        <v>864</v>
      </c>
      <c r="D910" s="54" t="s">
        <v>38</v>
      </c>
      <c r="E910" s="53">
        <v>1</v>
      </c>
      <c r="F910" s="101">
        <f t="shared" si="207"/>
        <v>1302</v>
      </c>
      <c r="G910" s="101">
        <f t="shared" si="208"/>
        <v>1302</v>
      </c>
      <c r="H910" s="3" t="s">
        <v>995</v>
      </c>
      <c r="I910" s="110" t="str">
        <f t="shared" si="212"/>
        <v>IFI12_17</v>
      </c>
    </row>
    <row r="911" spans="1:9" ht="25.5" x14ac:dyDescent="0.25">
      <c r="A911" s="110" t="s">
        <v>1109</v>
      </c>
      <c r="B911" s="90" t="str">
        <f>A911&amp;".Have you ever used your PAWNSHOP account to do the following? "&amp;Other!AA19</f>
        <v>IFI12.18.Have you ever used your PAWNSHOP account to do the following? Set money aside just in case/for an undetermined purpose</v>
      </c>
      <c r="C911" s="96" t="s">
        <v>864</v>
      </c>
      <c r="D911" s="54" t="s">
        <v>38</v>
      </c>
      <c r="E911" s="53">
        <v>1</v>
      </c>
      <c r="F911" s="101">
        <f t="shared" si="207"/>
        <v>1303</v>
      </c>
      <c r="G911" s="101">
        <f t="shared" si="208"/>
        <v>1303</v>
      </c>
      <c r="H911" s="3" t="s">
        <v>995</v>
      </c>
      <c r="I911" s="110" t="str">
        <f t="shared" si="212"/>
        <v>IFI12_18</v>
      </c>
    </row>
    <row r="912" spans="1:9" s="3" customFormat="1" ht="25.5" x14ac:dyDescent="0.25">
      <c r="A912" s="110" t="s">
        <v>1110</v>
      </c>
      <c r="B912" s="90" t="str">
        <f>A912&amp;".Have you ever used your PAWNSHOP account to do the following? "&amp;Other!AA20</f>
        <v>IFI12.19.Have you ever used your PAWNSHOP account to do the following? Make an investment, including buy stock or shares</v>
      </c>
      <c r="C912" s="96" t="s">
        <v>864</v>
      </c>
      <c r="D912" s="54" t="s">
        <v>38</v>
      </c>
      <c r="E912" s="53">
        <v>1</v>
      </c>
      <c r="F912" s="101">
        <f t="shared" si="207"/>
        <v>1304</v>
      </c>
      <c r="G912" s="101">
        <f t="shared" si="208"/>
        <v>1304</v>
      </c>
      <c r="H912" s="3" t="s">
        <v>995</v>
      </c>
      <c r="I912" s="110" t="str">
        <f t="shared" si="212"/>
        <v>IFI12_19</v>
      </c>
    </row>
    <row r="913" spans="1:9" s="3" customFormat="1" ht="25.5" x14ac:dyDescent="0.25">
      <c r="A913" s="110" t="s">
        <v>1111</v>
      </c>
      <c r="B913" s="90" t="str">
        <f>A913&amp;".Have you ever used your PAWNSHOP account to do the following? "&amp;Other!AA21</f>
        <v>IFI12.20.Have you ever used your PAWNSHOP account to do the following? Pay for goods or services at a grocery store, clothing shop or any other store/shop</v>
      </c>
      <c r="C913" s="96" t="s">
        <v>864</v>
      </c>
      <c r="D913" s="54" t="s">
        <v>38</v>
      </c>
      <c r="E913" s="53">
        <v>1</v>
      </c>
      <c r="F913" s="101">
        <f t="shared" si="207"/>
        <v>1305</v>
      </c>
      <c r="G913" s="101">
        <f t="shared" si="208"/>
        <v>1305</v>
      </c>
      <c r="H913" s="3" t="s">
        <v>995</v>
      </c>
      <c r="I913" s="110" t="str">
        <f t="shared" si="212"/>
        <v>IFI12_20</v>
      </c>
    </row>
    <row r="914" spans="1:9" s="3" customFormat="1" ht="38.25" x14ac:dyDescent="0.25">
      <c r="A914" s="101" t="s">
        <v>1112</v>
      </c>
      <c r="B914" s="90" t="str">
        <f>A914&amp;".Have you ever used your PAWNSHOP account to do the following? "&amp;Other!AA22</f>
        <v>IFI12.21.Have you ever used your PAWNSHOP account to do the following? Transfer money between your account and an account with another financial institution</v>
      </c>
      <c r="C914" s="90" t="s">
        <v>864</v>
      </c>
      <c r="D914" s="53" t="s">
        <v>38</v>
      </c>
      <c r="E914" s="53">
        <v>1</v>
      </c>
      <c r="F914" s="101">
        <f t="shared" si="207"/>
        <v>1306</v>
      </c>
      <c r="G914" s="101">
        <f t="shared" si="208"/>
        <v>1306</v>
      </c>
      <c r="H914" s="3" t="s">
        <v>995</v>
      </c>
      <c r="I914" s="101" t="str">
        <f t="shared" si="212"/>
        <v>IFI12_21</v>
      </c>
    </row>
    <row r="915" spans="1:9" ht="25.5" x14ac:dyDescent="0.25">
      <c r="A915" s="101" t="s">
        <v>1113</v>
      </c>
      <c r="B915" s="90" t="str">
        <f>A915&amp;".Have you ever used your PAWNSHOP account to do the following? "&amp;Other!AA23</f>
        <v>IFI12.22.Have you ever used your PAWNSHOP account to do the following? Pay money to or receive money from your Savings and/or lending group</v>
      </c>
      <c r="C915" s="90" t="s">
        <v>864</v>
      </c>
      <c r="D915" s="53" t="s">
        <v>38</v>
      </c>
      <c r="E915" s="53">
        <v>1</v>
      </c>
      <c r="F915" s="101">
        <f t="shared" si="207"/>
        <v>1307</v>
      </c>
      <c r="G915" s="101">
        <f t="shared" si="208"/>
        <v>1307</v>
      </c>
      <c r="H915" s="3" t="s">
        <v>995</v>
      </c>
      <c r="I915" s="101" t="str">
        <f t="shared" si="212"/>
        <v>IFI12_22</v>
      </c>
    </row>
    <row r="916" spans="1:9" ht="38.25" x14ac:dyDescent="0.25">
      <c r="A916" s="101" t="s">
        <v>1114</v>
      </c>
      <c r="B916" s="90" t="str">
        <f>A916&amp;".Have you ever used your PAWNSHOP account to do the following? "&amp;Other!AA24</f>
        <v>IFI12.23.Have you ever used your PAWNSHOP account to do the following? Account maintenance: Check your account balance, change PIN, receive mini-statement, etc.</v>
      </c>
      <c r="C916" s="90" t="s">
        <v>864</v>
      </c>
      <c r="D916" s="53" t="s">
        <v>38</v>
      </c>
      <c r="E916" s="53">
        <v>1</v>
      </c>
      <c r="F916" s="101">
        <f t="shared" si="207"/>
        <v>1308</v>
      </c>
      <c r="G916" s="101">
        <f t="shared" si="208"/>
        <v>1308</v>
      </c>
      <c r="H916" s="3" t="s">
        <v>995</v>
      </c>
      <c r="I916" s="101" t="str">
        <f t="shared" si="212"/>
        <v>IFI12_23</v>
      </c>
    </row>
    <row r="917" spans="1:9" ht="25.5" x14ac:dyDescent="0.25">
      <c r="A917" s="110" t="s">
        <v>1115</v>
      </c>
      <c r="B917" s="90" t="str">
        <f>A917&amp;".Have you ever used your PAWNSHOP account to do the following? "&amp;Other!AA25</f>
        <v>IFI12.96.Have you ever used your PAWNSHOP account to do the following? Other (Specify)</v>
      </c>
      <c r="C917" s="96" t="s">
        <v>864</v>
      </c>
      <c r="D917" s="54" t="s">
        <v>38</v>
      </c>
      <c r="E917" s="53">
        <v>1</v>
      </c>
      <c r="F917" s="101">
        <f t="shared" si="207"/>
        <v>1309</v>
      </c>
      <c r="G917" s="101">
        <f t="shared" si="208"/>
        <v>1309</v>
      </c>
      <c r="H917" s="3" t="s">
        <v>995</v>
      </c>
      <c r="I917" s="110" t="str">
        <f t="shared" si="212"/>
        <v>IFI12_96</v>
      </c>
    </row>
    <row r="918" spans="1:9" ht="25.5" x14ac:dyDescent="0.25">
      <c r="A918" s="110" t="s">
        <v>1116</v>
      </c>
      <c r="B918" s="96" t="str">
        <f>A918&amp;".Have you ever used your Post Office account to do the following? "&amp;Other!AA2</f>
        <v>IFI13.1.Have you ever used your Post Office account to do the following? Deposit money</v>
      </c>
      <c r="C918" s="96" t="s">
        <v>864</v>
      </c>
      <c r="D918" s="54" t="s">
        <v>38</v>
      </c>
      <c r="E918" s="53">
        <v>1</v>
      </c>
      <c r="F918" s="101">
        <f t="shared" si="207"/>
        <v>1310</v>
      </c>
      <c r="G918" s="101">
        <f t="shared" si="208"/>
        <v>1310</v>
      </c>
      <c r="H918" s="3" t="s">
        <v>1001</v>
      </c>
      <c r="I918" s="110" t="str">
        <f>LEFT(A918,5) &amp; "_" &amp;RIGHT(A918,1)</f>
        <v>IFI13_1</v>
      </c>
    </row>
    <row r="919" spans="1:9" ht="25.5" x14ac:dyDescent="0.25">
      <c r="A919" s="110" t="s">
        <v>1117</v>
      </c>
      <c r="B919" s="96" t="str">
        <f>A919&amp;".Have you ever used your Post Office account to do the following? "&amp;Other!AA3</f>
        <v>IFI13.2.Have you ever used your Post Office account to do the following? Withdraw money</v>
      </c>
      <c r="C919" s="96" t="s">
        <v>864</v>
      </c>
      <c r="D919" s="53" t="s">
        <v>38</v>
      </c>
      <c r="E919" s="53">
        <v>1</v>
      </c>
      <c r="F919" s="101">
        <f t="shared" si="207"/>
        <v>1311</v>
      </c>
      <c r="G919" s="101">
        <f t="shared" si="208"/>
        <v>1311</v>
      </c>
      <c r="H919" s="3" t="s">
        <v>1001</v>
      </c>
      <c r="I919" s="110" t="str">
        <f t="shared" ref="I919:I926" si="213">LEFT(A919,5) &amp; "_" &amp;RIGHT(A919,1)</f>
        <v>IFI13_2</v>
      </c>
    </row>
    <row r="920" spans="1:9" ht="25.5" x14ac:dyDescent="0.25">
      <c r="A920" s="110" t="s">
        <v>1118</v>
      </c>
      <c r="B920" s="96" t="str">
        <f>A920&amp;".Have you ever used your Post Office account to do the following? "&amp;Other!AA4</f>
        <v>IFI13.3.Have you ever used your Post Office account to do the following? Buy airtime top-ups, pay mobile phone bill</v>
      </c>
      <c r="C920" s="96" t="s">
        <v>864</v>
      </c>
      <c r="D920" s="54" t="s">
        <v>38</v>
      </c>
      <c r="E920" s="53">
        <v>1</v>
      </c>
      <c r="F920" s="101">
        <f t="shared" si="207"/>
        <v>1312</v>
      </c>
      <c r="G920" s="101">
        <f t="shared" si="208"/>
        <v>1312</v>
      </c>
      <c r="H920" s="3" t="s">
        <v>1001</v>
      </c>
      <c r="I920" s="110" t="str">
        <f t="shared" si="213"/>
        <v>IFI13_3</v>
      </c>
    </row>
    <row r="921" spans="1:9" ht="25.5" x14ac:dyDescent="0.25">
      <c r="A921" s="110" t="s">
        <v>1119</v>
      </c>
      <c r="B921" s="96" t="str">
        <f>A921&amp;".Have you ever used your Post Office account to do the following? "&amp;Other!AA5</f>
        <v>IFI13.4.Have you ever used your Post Office account to do the following? Pay a school fee</v>
      </c>
      <c r="C921" s="96" t="s">
        <v>864</v>
      </c>
      <c r="D921" s="54" t="s">
        <v>38</v>
      </c>
      <c r="E921" s="53">
        <v>1</v>
      </c>
      <c r="F921" s="101">
        <f t="shared" si="207"/>
        <v>1313</v>
      </c>
      <c r="G921" s="101">
        <f t="shared" si="208"/>
        <v>1313</v>
      </c>
      <c r="H921" s="3" t="s">
        <v>1001</v>
      </c>
      <c r="I921" s="110" t="str">
        <f t="shared" si="213"/>
        <v>IFI13_4</v>
      </c>
    </row>
    <row r="922" spans="1:9" ht="25.5" x14ac:dyDescent="0.25">
      <c r="A922" s="110" t="s">
        <v>1120</v>
      </c>
      <c r="B922" s="96" t="str">
        <f>A922&amp;".Have you ever used your Post Office account to do the following? "&amp;Other!AA6</f>
        <v>IFI13.5.Have you ever used your Post Office account to do the following? Pay a medical bill</v>
      </c>
      <c r="C922" s="96" t="s">
        <v>864</v>
      </c>
      <c r="D922" s="54" t="s">
        <v>38</v>
      </c>
      <c r="E922" s="53">
        <v>1</v>
      </c>
      <c r="F922" s="101">
        <f t="shared" si="207"/>
        <v>1314</v>
      </c>
      <c r="G922" s="101">
        <f t="shared" si="208"/>
        <v>1314</v>
      </c>
      <c r="H922" s="3" t="s">
        <v>1001</v>
      </c>
      <c r="I922" s="110" t="str">
        <f t="shared" si="213"/>
        <v>IFI13_5</v>
      </c>
    </row>
    <row r="923" spans="1:9" ht="25.5" x14ac:dyDescent="0.25">
      <c r="A923" s="110" t="s">
        <v>1121</v>
      </c>
      <c r="B923" s="96" t="str">
        <f>A923&amp;".Have you ever used your Post Office account to do the following? "&amp;Other!AA7</f>
        <v xml:space="preserve">IFI13.6.Have you ever used your Post Office account to do the following? Pay an utility bill (i.e electricity, water, solar, TV/cable) </v>
      </c>
      <c r="C923" s="96" t="s">
        <v>864</v>
      </c>
      <c r="D923" s="54" t="s">
        <v>38</v>
      </c>
      <c r="E923" s="53">
        <v>1</v>
      </c>
      <c r="F923" s="101">
        <f t="shared" si="207"/>
        <v>1315</v>
      </c>
      <c r="G923" s="101">
        <f t="shared" si="208"/>
        <v>1315</v>
      </c>
      <c r="H923" s="3" t="s">
        <v>1001</v>
      </c>
      <c r="I923" s="110" t="str">
        <f t="shared" si="213"/>
        <v>IFI13_6</v>
      </c>
    </row>
    <row r="924" spans="1:9" ht="25.5" x14ac:dyDescent="0.25">
      <c r="A924" s="110" t="s">
        <v>1122</v>
      </c>
      <c r="B924" s="96" t="str">
        <f>A924&amp;".Have you ever used your Post Office account to do the following? "&amp;Other!AA8</f>
        <v>IFI13.7.Have you ever used your Post Office account to do the following? Pay rent</v>
      </c>
      <c r="C924" s="96" t="s">
        <v>864</v>
      </c>
      <c r="D924" s="54" t="s">
        <v>38</v>
      </c>
      <c r="E924" s="53">
        <v>1</v>
      </c>
      <c r="F924" s="101">
        <f t="shared" si="207"/>
        <v>1316</v>
      </c>
      <c r="G924" s="101">
        <f t="shared" si="208"/>
        <v>1316</v>
      </c>
      <c r="H924" s="3" t="s">
        <v>1001</v>
      </c>
      <c r="I924" s="110" t="str">
        <f t="shared" si="213"/>
        <v>IFI13_7</v>
      </c>
    </row>
    <row r="925" spans="1:9" ht="25.5" x14ac:dyDescent="0.25">
      <c r="A925" s="110" t="s">
        <v>1123</v>
      </c>
      <c r="B925" s="96" t="str">
        <f>A925&amp;".Have you ever used your Post Office account to do the following? "&amp;Other!AA9</f>
        <v>IFI13.8.Have you ever used your Post Office account to do the following? Pay a government bill, including tax, fine or fee</v>
      </c>
      <c r="C925" s="96" t="s">
        <v>864</v>
      </c>
      <c r="D925" s="54" t="s">
        <v>38</v>
      </c>
      <c r="E925" s="53">
        <v>1</v>
      </c>
      <c r="F925" s="101">
        <f t="shared" si="207"/>
        <v>1317</v>
      </c>
      <c r="G925" s="101">
        <f t="shared" si="208"/>
        <v>1317</v>
      </c>
      <c r="H925" s="3" t="s">
        <v>1001</v>
      </c>
      <c r="I925" s="110" t="str">
        <f t="shared" si="213"/>
        <v>IFI13_8</v>
      </c>
    </row>
    <row r="926" spans="1:9" ht="38.25" x14ac:dyDescent="0.25">
      <c r="A926" s="110" t="s">
        <v>1124</v>
      </c>
      <c r="B926" s="96" t="str">
        <f>A926&amp;".Have you ever used your Post Office account to do the following? "&amp;Other!AA10</f>
        <v>IFI13.9.Have you ever used your Post Office account to do the following? Send money to family members, friends, workmates or other acquaintances for regular support/allowances, to help with emergencies, or for other reasons</v>
      </c>
      <c r="C926" s="96" t="s">
        <v>864</v>
      </c>
      <c r="D926" s="54" t="s">
        <v>38</v>
      </c>
      <c r="E926" s="53">
        <v>1</v>
      </c>
      <c r="F926" s="101">
        <f t="shared" si="207"/>
        <v>1318</v>
      </c>
      <c r="G926" s="101">
        <f t="shared" si="208"/>
        <v>1318</v>
      </c>
      <c r="H926" s="3" t="s">
        <v>1001</v>
      </c>
      <c r="I926" s="110" t="str">
        <f t="shared" si="213"/>
        <v>IFI13_9</v>
      </c>
    </row>
    <row r="927" spans="1:9" ht="38.25" x14ac:dyDescent="0.25">
      <c r="A927" s="110" t="s">
        <v>1125</v>
      </c>
      <c r="B927" s="96" t="str">
        <f>A927&amp;".Have you ever used your Post Office account to do the following? "&amp;Other!AA11</f>
        <v>IFI13.10.Have you ever used your Post Office account to do the following? Receive money from family members, friends, workmates or other acquaintances for regular support/allowances, to help with emergencies, or for other reasons</v>
      </c>
      <c r="C927" s="96" t="s">
        <v>864</v>
      </c>
      <c r="D927" s="54" t="s">
        <v>38</v>
      </c>
      <c r="E927" s="53">
        <v>1</v>
      </c>
      <c r="F927" s="101">
        <f t="shared" si="207"/>
        <v>1319</v>
      </c>
      <c r="G927" s="101">
        <f t="shared" si="208"/>
        <v>1319</v>
      </c>
      <c r="H927" s="3" t="s">
        <v>1001</v>
      </c>
      <c r="I927" s="110" t="str">
        <f>LEFT(A927,5) &amp; "_" &amp;RIGHT(A927,2)</f>
        <v>IFI13_10</v>
      </c>
    </row>
    <row r="928" spans="1:9" ht="25.5" x14ac:dyDescent="0.25">
      <c r="A928" s="110" t="s">
        <v>1126</v>
      </c>
      <c r="B928" s="96" t="str">
        <f>A928&amp;".Have you ever used your Post Office account to do the following? "&amp;Other!AA12</f>
        <v xml:space="preserve">IFI13.11.Have you ever used your Post Office account to do the following? Receive welfare, pension or other benefit payment from the government </v>
      </c>
      <c r="C928" s="96" t="s">
        <v>864</v>
      </c>
      <c r="D928" s="54" t="s">
        <v>38</v>
      </c>
      <c r="E928" s="53">
        <v>1</v>
      </c>
      <c r="F928" s="101">
        <f t="shared" si="207"/>
        <v>1320</v>
      </c>
      <c r="G928" s="101">
        <f t="shared" si="208"/>
        <v>1320</v>
      </c>
      <c r="H928" s="3" t="s">
        <v>1001</v>
      </c>
      <c r="I928" s="110" t="str">
        <f t="shared" ref="I928:I941" si="214">LEFT(A928,5) &amp; "_" &amp;RIGHT(A928,2)</f>
        <v>IFI13_11</v>
      </c>
    </row>
    <row r="929" spans="1:9" ht="25.5" x14ac:dyDescent="0.25">
      <c r="A929" s="110" t="s">
        <v>1127</v>
      </c>
      <c r="B929" s="96" t="str">
        <f>A929&amp;".Have you ever used your Post Office account to do the following? "&amp;Other!AA13</f>
        <v>IFI13.12.Have you ever used your Post Office account to do the following? Receive wages for primary or secondary job</v>
      </c>
      <c r="C929" s="96" t="s">
        <v>864</v>
      </c>
      <c r="D929" s="54" t="s">
        <v>38</v>
      </c>
      <c r="E929" s="53">
        <v>1</v>
      </c>
      <c r="F929" s="101">
        <f>G928+1</f>
        <v>1321</v>
      </c>
      <c r="G929" s="101">
        <f>G928+E929</f>
        <v>1321</v>
      </c>
      <c r="H929" s="3" t="s">
        <v>1001</v>
      </c>
      <c r="I929" s="110" t="str">
        <f t="shared" si="214"/>
        <v>IFI13_12</v>
      </c>
    </row>
    <row r="930" spans="1:9" ht="25.5" x14ac:dyDescent="0.25">
      <c r="A930" s="110" t="s">
        <v>1128</v>
      </c>
      <c r="B930" s="96" t="str">
        <f>A930&amp;".Have you ever used your Post Office account to do the following? "&amp;Other!AA14</f>
        <v>IFI13.13.Have you ever used your Post Office account to do the following? Pay for large acquisitions, including land, cattle, residence</v>
      </c>
      <c r="C930" s="96" t="s">
        <v>864</v>
      </c>
      <c r="D930" s="54" t="s">
        <v>38</v>
      </c>
      <c r="E930" s="53">
        <v>1</v>
      </c>
      <c r="F930" s="101">
        <f t="shared" ref="F930:F941" si="215">G929+1</f>
        <v>1322</v>
      </c>
      <c r="G930" s="101">
        <f t="shared" ref="G930:G941" si="216">G929+E930</f>
        <v>1322</v>
      </c>
      <c r="H930" s="3" t="s">
        <v>1001</v>
      </c>
      <c r="I930" s="110" t="str">
        <f t="shared" si="214"/>
        <v>IFI13_13</v>
      </c>
    </row>
    <row r="931" spans="1:9" ht="25.5" x14ac:dyDescent="0.25">
      <c r="A931" s="110" t="s">
        <v>1129</v>
      </c>
      <c r="B931" s="96" t="str">
        <f>A931&amp;".Have you ever used your Post Office account to do the following? "&amp;Other!AA15</f>
        <v>IFI13.14.Have you ever used your Post Office account to do the following? Make insurance-related payments or receive claims on insurance</v>
      </c>
      <c r="C931" s="96" t="s">
        <v>864</v>
      </c>
      <c r="D931" s="54" t="s">
        <v>38</v>
      </c>
      <c r="E931" s="53">
        <v>1</v>
      </c>
      <c r="F931" s="101">
        <f t="shared" si="215"/>
        <v>1323</v>
      </c>
      <c r="G931" s="101">
        <f t="shared" si="216"/>
        <v>1323</v>
      </c>
      <c r="H931" s="3" t="s">
        <v>1001</v>
      </c>
      <c r="I931" s="110" t="str">
        <f t="shared" si="214"/>
        <v>IFI13_14</v>
      </c>
    </row>
    <row r="932" spans="1:9" ht="25.5" x14ac:dyDescent="0.25">
      <c r="A932" s="110" t="s">
        <v>1130</v>
      </c>
      <c r="B932" s="96" t="str">
        <f>A932&amp;".Have you ever used your Post Office account to do the following? "&amp;Other!AA16</f>
        <v>IFI13.15.Have you ever used your Post Office account to do the following? Take a loan or make payments on a loan, give a loan or receive payments on a loan</v>
      </c>
      <c r="C932" s="96" t="s">
        <v>864</v>
      </c>
      <c r="D932" s="54" t="s">
        <v>38</v>
      </c>
      <c r="E932" s="53">
        <v>1</v>
      </c>
      <c r="F932" s="101">
        <f t="shared" si="215"/>
        <v>1324</v>
      </c>
      <c r="G932" s="101">
        <f t="shared" si="216"/>
        <v>1324</v>
      </c>
      <c r="H932" s="3" t="s">
        <v>1001</v>
      </c>
      <c r="I932" s="110" t="str">
        <f t="shared" si="214"/>
        <v>IFI13_15</v>
      </c>
    </row>
    <row r="933" spans="1:9" ht="25.5" x14ac:dyDescent="0.25">
      <c r="A933" s="110" t="s">
        <v>1131</v>
      </c>
      <c r="B933" s="96" t="str">
        <f>A933&amp;".Have you ever used your Post Office account to do the following? "&amp;Other!AA17</f>
        <v>IFI13.16.Have you ever used your Post Office account to do the following? Save money for a future purchase or payment</v>
      </c>
      <c r="C933" s="96" t="s">
        <v>864</v>
      </c>
      <c r="D933" s="54" t="s">
        <v>38</v>
      </c>
      <c r="E933" s="53">
        <v>1</v>
      </c>
      <c r="F933" s="101">
        <f t="shared" si="215"/>
        <v>1325</v>
      </c>
      <c r="G933" s="101">
        <f t="shared" si="216"/>
        <v>1325</v>
      </c>
      <c r="H933" s="3" t="s">
        <v>1001</v>
      </c>
      <c r="I933" s="110" t="str">
        <f t="shared" si="214"/>
        <v>IFI13_16</v>
      </c>
    </row>
    <row r="934" spans="1:9" ht="25.5" x14ac:dyDescent="0.25">
      <c r="A934" s="110" t="s">
        <v>1132</v>
      </c>
      <c r="B934" s="96" t="str">
        <f>A934&amp;".Have you ever used your Post Office account to do the following? "&amp;Other!AA18</f>
        <v>IFI13.17.Have you ever used your Post Office account to do the following? Set aside money for pension, paid pension contributions</v>
      </c>
      <c r="C934" s="96" t="s">
        <v>864</v>
      </c>
      <c r="D934" s="54" t="s">
        <v>38</v>
      </c>
      <c r="E934" s="53">
        <v>1</v>
      </c>
      <c r="F934" s="101">
        <f t="shared" si="215"/>
        <v>1326</v>
      </c>
      <c r="G934" s="101">
        <f t="shared" si="216"/>
        <v>1326</v>
      </c>
      <c r="H934" s="3" t="s">
        <v>1001</v>
      </c>
      <c r="I934" s="110" t="str">
        <f t="shared" si="214"/>
        <v>IFI13_17</v>
      </c>
    </row>
    <row r="935" spans="1:9" ht="25.5" x14ac:dyDescent="0.25">
      <c r="A935" s="110" t="s">
        <v>1133</v>
      </c>
      <c r="B935" s="96" t="str">
        <f>A935&amp;".Have you ever used your Post Office account to do the following? "&amp;Other!AA19</f>
        <v>IFI13.18.Have you ever used your Post Office account to do the following? Set money aside just in case/for an undetermined purpose</v>
      </c>
      <c r="C935" s="96" t="s">
        <v>864</v>
      </c>
      <c r="D935" s="54" t="s">
        <v>38</v>
      </c>
      <c r="E935" s="53">
        <v>1</v>
      </c>
      <c r="F935" s="101">
        <f t="shared" si="215"/>
        <v>1327</v>
      </c>
      <c r="G935" s="101">
        <f t="shared" si="216"/>
        <v>1327</v>
      </c>
      <c r="H935" s="3" t="s">
        <v>1001</v>
      </c>
      <c r="I935" s="110" t="str">
        <f t="shared" si="214"/>
        <v>IFI13_18</v>
      </c>
    </row>
    <row r="936" spans="1:9" ht="25.5" x14ac:dyDescent="0.25">
      <c r="A936" s="110" t="s">
        <v>1134</v>
      </c>
      <c r="B936" s="96" t="str">
        <f>A936&amp;".Have you ever used your Post Office account to do the following? "&amp;Other!AA20</f>
        <v>IFI13.19.Have you ever used your Post Office account to do the following? Make an investment, including buy stock or shares</v>
      </c>
      <c r="C936" s="96" t="s">
        <v>864</v>
      </c>
      <c r="D936" s="54" t="s">
        <v>38</v>
      </c>
      <c r="E936" s="53">
        <v>1</v>
      </c>
      <c r="F936" s="101">
        <f t="shared" si="215"/>
        <v>1328</v>
      </c>
      <c r="G936" s="101">
        <f t="shared" si="216"/>
        <v>1328</v>
      </c>
      <c r="H936" s="3" t="s">
        <v>1001</v>
      </c>
      <c r="I936" s="110" t="str">
        <f t="shared" si="214"/>
        <v>IFI13_19</v>
      </c>
    </row>
    <row r="937" spans="1:9" ht="25.5" x14ac:dyDescent="0.25">
      <c r="A937" s="110" t="s">
        <v>1135</v>
      </c>
      <c r="B937" s="96" t="str">
        <f>A937&amp;".Have you ever used your Post Office account to do the following? "&amp;Other!AA21</f>
        <v>IFI13.20.Have you ever used your Post Office account to do the following? Pay for goods or services at a grocery store, clothing shop or any other store/shop</v>
      </c>
      <c r="C937" s="96" t="s">
        <v>864</v>
      </c>
      <c r="D937" s="54" t="s">
        <v>38</v>
      </c>
      <c r="E937" s="53">
        <v>1</v>
      </c>
      <c r="F937" s="101">
        <f t="shared" si="215"/>
        <v>1329</v>
      </c>
      <c r="G937" s="101">
        <f t="shared" si="216"/>
        <v>1329</v>
      </c>
      <c r="H937" s="3" t="s">
        <v>1001</v>
      </c>
      <c r="I937" s="110" t="str">
        <f t="shared" si="214"/>
        <v>IFI13_20</v>
      </c>
    </row>
    <row r="938" spans="1:9" ht="25.5" x14ac:dyDescent="0.25">
      <c r="A938" s="110" t="s">
        <v>1136</v>
      </c>
      <c r="B938" s="96" t="str">
        <f>A938&amp;".Have you ever used your Post Office account to do the following? "&amp;Other!AA22</f>
        <v>IFI13.21.Have you ever used your Post Office account to do the following? Transfer money between your account and an account with another financial institution</v>
      </c>
      <c r="C938" s="90" t="s">
        <v>864</v>
      </c>
      <c r="D938" s="53" t="s">
        <v>38</v>
      </c>
      <c r="E938" s="53">
        <v>1</v>
      </c>
      <c r="F938" s="101">
        <f t="shared" si="215"/>
        <v>1330</v>
      </c>
      <c r="G938" s="101">
        <f t="shared" si="216"/>
        <v>1330</v>
      </c>
      <c r="H938" s="3" t="s">
        <v>1001</v>
      </c>
      <c r="I938" s="110" t="str">
        <f t="shared" si="214"/>
        <v>IFI13_21</v>
      </c>
    </row>
    <row r="939" spans="1:9" ht="25.5" x14ac:dyDescent="0.25">
      <c r="A939" s="110" t="s">
        <v>1137</v>
      </c>
      <c r="B939" s="96" t="str">
        <f>A939&amp;".Have you ever used your Post Office account to do the following? "&amp;Other!AA23</f>
        <v>IFI13.22.Have you ever used your Post Office account to do the following? Pay money to or receive money from your Savings and/or lending group</v>
      </c>
      <c r="C939" s="90" t="s">
        <v>864</v>
      </c>
      <c r="D939" s="53" t="s">
        <v>38</v>
      </c>
      <c r="E939" s="53">
        <v>1</v>
      </c>
      <c r="F939" s="101">
        <f t="shared" si="215"/>
        <v>1331</v>
      </c>
      <c r="G939" s="101">
        <f t="shared" si="216"/>
        <v>1331</v>
      </c>
      <c r="H939" s="3" t="s">
        <v>1001</v>
      </c>
      <c r="I939" s="110" t="str">
        <f t="shared" si="214"/>
        <v>IFI13_22</v>
      </c>
    </row>
    <row r="940" spans="1:9" ht="38.25" x14ac:dyDescent="0.25">
      <c r="A940" s="110" t="s">
        <v>1138</v>
      </c>
      <c r="B940" s="96" t="str">
        <f>A940&amp;".Have you ever used your Post Office account to do the following? "&amp;Other!AA24</f>
        <v>IFI13.23.Have you ever used your Post Office account to do the following? Account maintenance: Check your account balance, change PIN, receive mini-statement, etc.</v>
      </c>
      <c r="C940" s="90" t="s">
        <v>864</v>
      </c>
      <c r="D940" s="53" t="s">
        <v>38</v>
      </c>
      <c r="E940" s="53">
        <v>1</v>
      </c>
      <c r="F940" s="101">
        <f t="shared" si="215"/>
        <v>1332</v>
      </c>
      <c r="G940" s="101">
        <f t="shared" si="216"/>
        <v>1332</v>
      </c>
      <c r="H940" s="3" t="s">
        <v>1001</v>
      </c>
      <c r="I940" s="110" t="str">
        <f t="shared" si="214"/>
        <v>IFI13_23</v>
      </c>
    </row>
    <row r="941" spans="1:9" ht="25.5" x14ac:dyDescent="0.25">
      <c r="A941" s="110" t="s">
        <v>1139</v>
      </c>
      <c r="B941" s="96" t="str">
        <f>A941&amp;".Have you ever used your Post Office account to do the following? "&amp;Other!AA25</f>
        <v>IFI13.96.Have you ever used your Post Office account to do the following? Other (Specify)</v>
      </c>
      <c r="C941" s="96" t="s">
        <v>864</v>
      </c>
      <c r="D941" s="54" t="s">
        <v>38</v>
      </c>
      <c r="E941" s="53">
        <v>1</v>
      </c>
      <c r="F941" s="101">
        <f t="shared" si="215"/>
        <v>1333</v>
      </c>
      <c r="G941" s="101">
        <f t="shared" si="216"/>
        <v>1333</v>
      </c>
      <c r="H941" s="3" t="s">
        <v>1001</v>
      </c>
      <c r="I941" s="110" t="str">
        <f t="shared" si="214"/>
        <v>IFI13_96</v>
      </c>
    </row>
    <row r="942" spans="1:9" x14ac:dyDescent="0.25">
      <c r="A942" s="121" t="s">
        <v>1140</v>
      </c>
      <c r="B942" s="122" t="s">
        <v>379</v>
      </c>
      <c r="C942" s="122" t="s">
        <v>379</v>
      </c>
      <c r="D942" s="122" t="s">
        <v>379</v>
      </c>
      <c r="E942" s="122" t="s">
        <v>379</v>
      </c>
      <c r="F942" s="122" t="s">
        <v>379</v>
      </c>
      <c r="G942" s="122" t="s">
        <v>379</v>
      </c>
      <c r="H942" s="122" t="s">
        <v>379</v>
      </c>
      <c r="I942" s="123" t="s">
        <v>379</v>
      </c>
    </row>
    <row r="943" spans="1:9" x14ac:dyDescent="0.25">
      <c r="A943" s="51" t="s">
        <v>4</v>
      </c>
      <c r="B943" s="52" t="s">
        <v>5</v>
      </c>
      <c r="C943" s="52" t="s">
        <v>6</v>
      </c>
      <c r="D943" s="51" t="s">
        <v>7</v>
      </c>
      <c r="E943" s="52" t="s">
        <v>8</v>
      </c>
      <c r="F943" s="52" t="s">
        <v>9</v>
      </c>
      <c r="G943" s="52" t="s">
        <v>10</v>
      </c>
      <c r="H943" s="52" t="s">
        <v>11</v>
      </c>
      <c r="I943" s="51" t="s">
        <v>12</v>
      </c>
    </row>
    <row r="944" spans="1:9" ht="89.25" x14ac:dyDescent="0.25">
      <c r="A944" s="107" t="s">
        <v>1141</v>
      </c>
      <c r="B944" s="111" t="str">
        <f>A944&amp;".How close are the following to where you live? "&amp;Other!AB2</f>
        <v>IFI14.1.How close are the following to where you live? Bank branch</v>
      </c>
      <c r="C944" s="96" t="s">
        <v>1142</v>
      </c>
      <c r="D944" s="54" t="s">
        <v>38</v>
      </c>
      <c r="E944" s="53">
        <v>2</v>
      </c>
      <c r="F944" s="101">
        <f>G941+1</f>
        <v>1334</v>
      </c>
      <c r="G944" s="101">
        <f>G941+E944</f>
        <v>1335</v>
      </c>
      <c r="H944" s="10" t="s">
        <v>17</v>
      </c>
      <c r="I944" s="110" t="str">
        <f t="shared" ref="I944:I978" si="217">LEFT(A944,5) &amp; "_" &amp;RIGHT(A944,1)</f>
        <v>IFI14_1</v>
      </c>
    </row>
    <row r="945" spans="1:9" ht="89.25" x14ac:dyDescent="0.25">
      <c r="A945" s="107" t="s">
        <v>1143</v>
      </c>
      <c r="B945" s="111" t="str">
        <f>A945&amp;".How close are the following to where you live? "&amp;Other!AB3</f>
        <v>IFI14.2.How close are the following to where you live? ATM</v>
      </c>
      <c r="C945" s="96" t="s">
        <v>1142</v>
      </c>
      <c r="D945" s="54" t="s">
        <v>38</v>
      </c>
      <c r="E945" s="53">
        <v>2</v>
      </c>
      <c r="F945" s="101">
        <f>G944+1</f>
        <v>1336</v>
      </c>
      <c r="G945" s="101">
        <f>G944+E945</f>
        <v>1337</v>
      </c>
      <c r="H945" s="10" t="s">
        <v>17</v>
      </c>
      <c r="I945" s="110" t="str">
        <f t="shared" si="217"/>
        <v>IFI14_2</v>
      </c>
    </row>
    <row r="946" spans="1:9" ht="89.25" x14ac:dyDescent="0.25">
      <c r="A946" s="107" t="s">
        <v>1144</v>
      </c>
      <c r="B946" s="111" t="str">
        <f>A946&amp;".How close are the following to where you live? "&amp;Other!AB4</f>
        <v>IFI14.3.How close are the following to where you live? A Mobile money agent</v>
      </c>
      <c r="C946" s="96" t="s">
        <v>1142</v>
      </c>
      <c r="D946" s="54" t="s">
        <v>38</v>
      </c>
      <c r="E946" s="53">
        <v>2</v>
      </c>
      <c r="F946" s="101">
        <f t="shared" ref="F946:F978" si="218">G945+1</f>
        <v>1338</v>
      </c>
      <c r="G946" s="101">
        <f t="shared" ref="G946:G978" si="219">G945+E946</f>
        <v>1339</v>
      </c>
      <c r="H946" s="10" t="s">
        <v>17</v>
      </c>
      <c r="I946" s="110" t="str">
        <f t="shared" si="217"/>
        <v>IFI14_3</v>
      </c>
    </row>
    <row r="947" spans="1:9" ht="89.25" x14ac:dyDescent="0.25">
      <c r="A947" s="107" t="s">
        <v>1145</v>
      </c>
      <c r="B947" s="111" t="str">
        <f>A947&amp;".How close are the following to where you live? "&amp;Other!AB5</f>
        <v>IFI14.4.How close are the following to where you live? A Banking agent</v>
      </c>
      <c r="C947" s="96" t="s">
        <v>1142</v>
      </c>
      <c r="D947" s="54" t="s">
        <v>38</v>
      </c>
      <c r="E947" s="53">
        <v>2</v>
      </c>
      <c r="F947" s="101">
        <f t="shared" si="218"/>
        <v>1340</v>
      </c>
      <c r="G947" s="101">
        <f t="shared" si="219"/>
        <v>1341</v>
      </c>
      <c r="H947" s="10" t="s">
        <v>17</v>
      </c>
      <c r="I947" s="110" t="str">
        <f t="shared" si="217"/>
        <v>IFI14_4</v>
      </c>
    </row>
    <row r="948" spans="1:9" ht="89.25" x14ac:dyDescent="0.25">
      <c r="A948" s="107" t="s">
        <v>1146</v>
      </c>
      <c r="B948" s="111" t="str">
        <f>A948&amp;".How close are the following to where you live? "&amp;Other!AB6</f>
        <v>IFI14.5.How close are the following to where you live? A retail store/kiosk with over-the-counter MM services</v>
      </c>
      <c r="C948" s="96" t="s">
        <v>1142</v>
      </c>
      <c r="D948" s="54" t="s">
        <v>38</v>
      </c>
      <c r="E948" s="53">
        <v>2</v>
      </c>
      <c r="F948" s="101">
        <f t="shared" si="218"/>
        <v>1342</v>
      </c>
      <c r="G948" s="101">
        <f t="shared" si="219"/>
        <v>1343</v>
      </c>
      <c r="H948" s="10" t="s">
        <v>17</v>
      </c>
      <c r="I948" s="110" t="str">
        <f t="shared" si="217"/>
        <v>IFI14_5</v>
      </c>
    </row>
    <row r="949" spans="1:9" ht="89.25" x14ac:dyDescent="0.25">
      <c r="A949" s="107" t="s">
        <v>1147</v>
      </c>
      <c r="B949" s="111" t="str">
        <f>A949&amp;".How close are the following to where you live? "&amp;Other!AB7</f>
        <v>IFI14.6.How close are the following to where you live? BPR</v>
      </c>
      <c r="C949" s="96" t="s">
        <v>1142</v>
      </c>
      <c r="D949" s="54" t="s">
        <v>38</v>
      </c>
      <c r="E949" s="53">
        <v>2</v>
      </c>
      <c r="F949" s="101">
        <f t="shared" si="218"/>
        <v>1344</v>
      </c>
      <c r="G949" s="101">
        <f t="shared" si="219"/>
        <v>1345</v>
      </c>
      <c r="H949" s="10" t="s">
        <v>17</v>
      </c>
      <c r="I949" s="110" t="str">
        <f>LEFT(A949,5) &amp; "_" &amp;RIGHT(A949,1)</f>
        <v>IFI14_6</v>
      </c>
    </row>
    <row r="950" spans="1:9" ht="89.25" x14ac:dyDescent="0.25">
      <c r="A950" s="107" t="s">
        <v>1148</v>
      </c>
      <c r="B950" s="68" t="str">
        <f>A950&amp;".How close are the following to where you live? "&amp;Other!AB8</f>
        <v xml:space="preserve">IFI14.7.How close are the following to where you live? Cooperative/Ventura </v>
      </c>
      <c r="C950" s="96" t="s">
        <v>1142</v>
      </c>
      <c r="D950" s="54" t="s">
        <v>38</v>
      </c>
      <c r="E950" s="53">
        <v>2</v>
      </c>
      <c r="F950" s="101">
        <f t="shared" si="218"/>
        <v>1346</v>
      </c>
      <c r="G950" s="101">
        <f t="shared" si="219"/>
        <v>1347</v>
      </c>
      <c r="H950" s="10" t="s">
        <v>17</v>
      </c>
      <c r="I950" s="110" t="str">
        <f>LEFT(A950,5) &amp; "_" &amp;RIGHT(A950,1)</f>
        <v>IFI14_7</v>
      </c>
    </row>
    <row r="951" spans="1:9" ht="89.25" x14ac:dyDescent="0.25">
      <c r="A951" s="107" t="s">
        <v>1149</v>
      </c>
      <c r="B951" s="72" t="str">
        <f>A951&amp;".How close are the following to where you live? "&amp;Other!AB9</f>
        <v>IFI14.8.How close are the following to where you live? Semi-formal/informal financial or savings  group (Arisan, kelompok tani/ternak, dll)</v>
      </c>
      <c r="C951" s="96" t="s">
        <v>1142</v>
      </c>
      <c r="D951" s="54" t="s">
        <v>38</v>
      </c>
      <c r="E951" s="53">
        <v>2</v>
      </c>
      <c r="F951" s="101">
        <f t="shared" si="218"/>
        <v>1348</v>
      </c>
      <c r="G951" s="101">
        <f t="shared" si="219"/>
        <v>1349</v>
      </c>
      <c r="H951" s="10" t="s">
        <v>17</v>
      </c>
      <c r="I951" s="110" t="str">
        <f>LEFT(A951,5) &amp; "_" &amp;RIGHT(A951,1)</f>
        <v>IFI14_8</v>
      </c>
    </row>
    <row r="952" spans="1:9" ht="89.25" x14ac:dyDescent="0.25">
      <c r="A952" s="107" t="s">
        <v>1150</v>
      </c>
      <c r="B952" s="72" t="str">
        <f>A952&amp;".How close are the following to where you live? "&amp;Other!AB10</f>
        <v>IFI14.9.How close are the following to where you live? Pawnshop</v>
      </c>
      <c r="C952" s="96" t="s">
        <v>1142</v>
      </c>
      <c r="D952" s="54" t="s">
        <v>38</v>
      </c>
      <c r="E952" s="53">
        <v>2</v>
      </c>
      <c r="F952" s="101">
        <f t="shared" ref="F952:F955" si="220">G951+1</f>
        <v>1350</v>
      </c>
      <c r="G952" s="101">
        <f t="shared" ref="G952:G955" si="221">G951+E952</f>
        <v>1351</v>
      </c>
      <c r="H952" s="10" t="s">
        <v>17</v>
      </c>
      <c r="I952" s="110" t="str">
        <f>LEFT(A952,5) &amp; "_" &amp;RIGHT(A952,1)</f>
        <v>IFI14_9</v>
      </c>
    </row>
    <row r="953" spans="1:9" ht="89.25" x14ac:dyDescent="0.25">
      <c r="A953" s="107" t="s">
        <v>1151</v>
      </c>
      <c r="B953" s="68" t="str">
        <f>A953&amp;".If you had to go to this institution, how much time would it take you? "&amp;Other!AB2</f>
        <v>IFI15.1.If you had to go to this institution, how much time would it take you? Bank branch</v>
      </c>
      <c r="C953" s="96" t="s">
        <v>1152</v>
      </c>
      <c r="D953" s="54" t="s">
        <v>38</v>
      </c>
      <c r="E953" s="53">
        <v>2</v>
      </c>
      <c r="F953" s="101">
        <f t="shared" si="220"/>
        <v>1352</v>
      </c>
      <c r="G953" s="101">
        <f t="shared" si="221"/>
        <v>1353</v>
      </c>
      <c r="H953" s="10" t="str">
        <f>"IF "&amp;I944&amp;"&lt;=6"</f>
        <v>IF IFI14_1&lt;=6</v>
      </c>
      <c r="I953" s="110" t="str">
        <f t="shared" si="217"/>
        <v>IFI15_1</v>
      </c>
    </row>
    <row r="954" spans="1:9" ht="89.25" x14ac:dyDescent="0.25">
      <c r="A954" s="107" t="s">
        <v>1153</v>
      </c>
      <c r="B954" s="111" t="str">
        <f>A954&amp;".If you had to go to this institution, how much time would it take you? "&amp;Other!AB3</f>
        <v>IFI15.2.If you had to go to this institution, how much time would it take you? ATM</v>
      </c>
      <c r="C954" s="96" t="s">
        <v>1152</v>
      </c>
      <c r="D954" s="54" t="s">
        <v>38</v>
      </c>
      <c r="E954" s="53">
        <v>2</v>
      </c>
      <c r="F954" s="101">
        <f t="shared" si="220"/>
        <v>1354</v>
      </c>
      <c r="G954" s="101">
        <f t="shared" si="221"/>
        <v>1355</v>
      </c>
      <c r="H954" s="10" t="str">
        <f t="shared" ref="H954:H960" si="222">"IF "&amp;I945&amp;"&lt;=6"</f>
        <v>IF IFI14_2&lt;=6</v>
      </c>
      <c r="I954" s="110" t="str">
        <f t="shared" si="217"/>
        <v>IFI15_2</v>
      </c>
    </row>
    <row r="955" spans="1:9" ht="89.25" x14ac:dyDescent="0.25">
      <c r="A955" s="107" t="s">
        <v>1154</v>
      </c>
      <c r="B955" s="111" t="str">
        <f>A955&amp;".If you had to go to this institution, how much time would it take you? "&amp;Other!AB4</f>
        <v>IFI15.3.If you had to go to this institution, how much time would it take you? A Mobile money agent</v>
      </c>
      <c r="C955" s="96" t="s">
        <v>1152</v>
      </c>
      <c r="D955" s="54" t="s">
        <v>38</v>
      </c>
      <c r="E955" s="53">
        <v>2</v>
      </c>
      <c r="F955" s="101">
        <f t="shared" si="220"/>
        <v>1356</v>
      </c>
      <c r="G955" s="101">
        <f t="shared" si="221"/>
        <v>1357</v>
      </c>
      <c r="H955" s="10" t="str">
        <f t="shared" si="222"/>
        <v>IF IFI14_3&lt;=6</v>
      </c>
      <c r="I955" s="110" t="str">
        <f t="shared" si="217"/>
        <v>IFI15_3</v>
      </c>
    </row>
    <row r="956" spans="1:9" ht="89.25" x14ac:dyDescent="0.25">
      <c r="A956" s="107" t="s">
        <v>1155</v>
      </c>
      <c r="B956" s="111" t="str">
        <f>A956&amp;".If you had to go to this institution, how much time would it take you? "&amp;Other!AB5</f>
        <v>IFI15.4.If you had to go to this institution, how much time would it take you? A Banking agent</v>
      </c>
      <c r="C956" s="96" t="s">
        <v>1152</v>
      </c>
      <c r="D956" s="54" t="s">
        <v>38</v>
      </c>
      <c r="E956" s="53">
        <v>2</v>
      </c>
      <c r="F956" s="101">
        <f t="shared" ref="F956:F971" si="223">G955+1</f>
        <v>1358</v>
      </c>
      <c r="G956" s="101">
        <f t="shared" ref="G956:G971" si="224">G955+E956</f>
        <v>1359</v>
      </c>
      <c r="H956" s="10" t="str">
        <f t="shared" si="222"/>
        <v>IF IFI14_4&lt;=6</v>
      </c>
      <c r="I956" s="110" t="str">
        <f t="shared" si="217"/>
        <v>IFI15_4</v>
      </c>
    </row>
    <row r="957" spans="1:9" ht="89.25" x14ac:dyDescent="0.25">
      <c r="A957" s="107" t="s">
        <v>1156</v>
      </c>
      <c r="B957" s="111" t="str">
        <f>A957&amp;".If you had to go to this institution, how much time would it take you? "&amp;Other!AB6</f>
        <v>IFI15.5.If you had to go to this institution, how much time would it take you? A retail store/kiosk with over-the-counter MM services</v>
      </c>
      <c r="C957" s="96" t="s">
        <v>1152</v>
      </c>
      <c r="D957" s="54" t="s">
        <v>38</v>
      </c>
      <c r="E957" s="53">
        <v>2</v>
      </c>
      <c r="F957" s="101">
        <f t="shared" si="223"/>
        <v>1360</v>
      </c>
      <c r="G957" s="101">
        <f t="shared" si="224"/>
        <v>1361</v>
      </c>
      <c r="H957" s="10" t="str">
        <f>"IF "&amp;I948&amp;"&lt;=6"</f>
        <v>IF IFI14_5&lt;=6</v>
      </c>
      <c r="I957" s="110" t="str">
        <f t="shared" si="217"/>
        <v>IFI15_5</v>
      </c>
    </row>
    <row r="958" spans="1:9" ht="89.25" x14ac:dyDescent="0.25">
      <c r="A958" s="107" t="s">
        <v>1157</v>
      </c>
      <c r="B958" s="111" t="str">
        <f>A958&amp;".If you had to go to this institution, how much time would it take you? "&amp;Other!AB7</f>
        <v>IFI15.6.If you had to go to this institution, how much time would it take you? BPR</v>
      </c>
      <c r="C958" s="96" t="s">
        <v>1152</v>
      </c>
      <c r="D958" s="54" t="s">
        <v>38</v>
      </c>
      <c r="E958" s="53">
        <v>2</v>
      </c>
      <c r="F958" s="101">
        <f t="shared" si="223"/>
        <v>1362</v>
      </c>
      <c r="G958" s="101">
        <f t="shared" si="224"/>
        <v>1363</v>
      </c>
      <c r="H958" s="10" t="str">
        <f t="shared" si="222"/>
        <v>IF IFI14_6&lt;=6</v>
      </c>
      <c r="I958" s="110" t="str">
        <f t="shared" si="217"/>
        <v>IFI15_6</v>
      </c>
    </row>
    <row r="959" spans="1:9" ht="89.25" x14ac:dyDescent="0.25">
      <c r="A959" s="107" t="s">
        <v>1158</v>
      </c>
      <c r="B959" s="111" t="str">
        <f>A959&amp;".If you had to go to this institution, how much time would it take you? "&amp;Other!AB8</f>
        <v xml:space="preserve">IFI15.7.If you had to go to this institution, how much time would it take you? Cooperative/Ventura </v>
      </c>
      <c r="C959" s="96" t="s">
        <v>1152</v>
      </c>
      <c r="D959" s="54" t="s">
        <v>38</v>
      </c>
      <c r="E959" s="53">
        <v>2</v>
      </c>
      <c r="F959" s="101">
        <f t="shared" si="223"/>
        <v>1364</v>
      </c>
      <c r="G959" s="101">
        <f t="shared" si="224"/>
        <v>1365</v>
      </c>
      <c r="H959" s="10" t="str">
        <f t="shared" si="222"/>
        <v>IF IFI14_7&lt;=6</v>
      </c>
      <c r="I959" s="110" t="str">
        <f>LEFT(A959,5) &amp; "_" &amp;RIGHT(A959,1)</f>
        <v>IFI15_7</v>
      </c>
    </row>
    <row r="960" spans="1:9" ht="89.25" x14ac:dyDescent="0.25">
      <c r="A960" s="107" t="s">
        <v>1159</v>
      </c>
      <c r="B960" s="111" t="str">
        <f>A960&amp;".If you had to go to this institution, how much time would it take you? "&amp;Other!AB9</f>
        <v>IFI15.8.If you had to go to this institution, how much time would it take you? Semi-formal/informal financial or savings  group (Arisan, kelompok tani/ternak, dll)</v>
      </c>
      <c r="C960" s="96" t="s">
        <v>1152</v>
      </c>
      <c r="D960" s="54" t="s">
        <v>38</v>
      </c>
      <c r="E960" s="53">
        <v>2</v>
      </c>
      <c r="F960" s="101">
        <f t="shared" si="223"/>
        <v>1366</v>
      </c>
      <c r="G960" s="101">
        <f t="shared" si="224"/>
        <v>1367</v>
      </c>
      <c r="H960" s="10" t="str">
        <f t="shared" si="222"/>
        <v>IF IFI14_8&lt;=6</v>
      </c>
      <c r="I960" s="110" t="str">
        <f>LEFT(A960,5) &amp; "_" &amp;RIGHT(A960,1)</f>
        <v>IFI15_8</v>
      </c>
    </row>
    <row r="961" spans="1:9" ht="89.25" x14ac:dyDescent="0.25">
      <c r="A961" s="107" t="s">
        <v>1160</v>
      </c>
      <c r="B961" s="111" t="str">
        <f>A961&amp;".If you had to go to this institution, how much time would it take you? "&amp;Other!AB10</f>
        <v>IFI15.9.If you had to go to this institution, how much time would it take you? Pawnshop</v>
      </c>
      <c r="C961" s="96" t="s">
        <v>1152</v>
      </c>
      <c r="D961" s="54" t="s">
        <v>38</v>
      </c>
      <c r="E961" s="53">
        <v>2</v>
      </c>
      <c r="F961" s="101">
        <f t="shared" si="223"/>
        <v>1368</v>
      </c>
      <c r="G961" s="101">
        <f t="shared" si="224"/>
        <v>1369</v>
      </c>
      <c r="H961" s="10" t="str">
        <f>"IF "&amp;I952&amp;"&lt;=6"</f>
        <v>IF IFI14_9&lt;=6</v>
      </c>
      <c r="I961" s="110" t="str">
        <f>LEFT(A961,5) &amp; "_" &amp;RIGHT(A961,1)</f>
        <v>IFI15_9</v>
      </c>
    </row>
    <row r="962" spans="1:9" x14ac:dyDescent="0.25">
      <c r="A962" s="107" t="s">
        <v>1161</v>
      </c>
      <c r="B962" s="111" t="str">
        <f>A962&amp;".If you want to get to "&amp;Other!AB2&amp;", how would you get there? Would you…? "</f>
        <v xml:space="preserve">IFI16.1.If you want to get to Bank branch, how would you get there? Would you…? </v>
      </c>
      <c r="C962" s="98" t="s">
        <v>1162</v>
      </c>
      <c r="D962" s="54" t="s">
        <v>38</v>
      </c>
      <c r="E962" s="53">
        <v>2</v>
      </c>
      <c r="F962" s="101">
        <f t="shared" si="223"/>
        <v>1370</v>
      </c>
      <c r="G962" s="101">
        <f t="shared" si="224"/>
        <v>1371</v>
      </c>
      <c r="H962" s="10" t="str">
        <f>"IF "&amp;I944&amp;"&lt;=6"</f>
        <v>IF IFI14_1&lt;=6</v>
      </c>
      <c r="I962" s="110" t="str">
        <f t="shared" si="217"/>
        <v>IFI16_1</v>
      </c>
    </row>
    <row r="963" spans="1:9" x14ac:dyDescent="0.25">
      <c r="A963" s="107" t="s">
        <v>1163</v>
      </c>
      <c r="B963" s="111" t="str">
        <f>A963&amp;".If you want to get to "&amp;Other!AB3&amp;", how would you get there? Would you…? "</f>
        <v xml:space="preserve">IFI16.2.If you want to get to ATM, how would you get there? Would you…? </v>
      </c>
      <c r="C963" s="98" t="s">
        <v>1162</v>
      </c>
      <c r="D963" s="54" t="s">
        <v>38</v>
      </c>
      <c r="E963" s="53">
        <v>2</v>
      </c>
      <c r="F963" s="101">
        <f t="shared" si="223"/>
        <v>1372</v>
      </c>
      <c r="G963" s="101">
        <f t="shared" si="224"/>
        <v>1373</v>
      </c>
      <c r="H963" s="10" t="str">
        <f t="shared" ref="H963:H969" si="225">"IF "&amp;I945&amp;"&lt;=6"</f>
        <v>IF IFI14_2&lt;=6</v>
      </c>
      <c r="I963" s="110" t="str">
        <f t="shared" si="217"/>
        <v>IFI16_2</v>
      </c>
    </row>
    <row r="964" spans="1:9" ht="25.5" x14ac:dyDescent="0.25">
      <c r="A964" s="107" t="s">
        <v>1164</v>
      </c>
      <c r="B964" s="111" t="str">
        <f>A964&amp;".If you want to get to "&amp;Other!AB4&amp;", how would you get there? Would you…? "</f>
        <v xml:space="preserve">IFI16.3.If you want to get to A Mobile money agent, how would you get there? Would you…? </v>
      </c>
      <c r="C964" s="98" t="s">
        <v>1162</v>
      </c>
      <c r="D964" s="54" t="s">
        <v>38</v>
      </c>
      <c r="E964" s="53">
        <v>2</v>
      </c>
      <c r="F964" s="101">
        <f t="shared" si="223"/>
        <v>1374</v>
      </c>
      <c r="G964" s="101">
        <f t="shared" si="224"/>
        <v>1375</v>
      </c>
      <c r="H964" s="10" t="str">
        <f t="shared" si="225"/>
        <v>IF IFI14_3&lt;=6</v>
      </c>
      <c r="I964" s="110" t="str">
        <f t="shared" si="217"/>
        <v>IFI16_3</v>
      </c>
    </row>
    <row r="965" spans="1:9" ht="27.75" customHeight="1" x14ac:dyDescent="0.25">
      <c r="A965" s="107" t="s">
        <v>1165</v>
      </c>
      <c r="B965" s="111" t="str">
        <f>A965&amp;".If you want to get to "&amp;Other!AB5&amp;", how would you get there? Would you…? "</f>
        <v xml:space="preserve">IFI16.4.If you want to get to A Banking agent, how would you get there? Would you…? </v>
      </c>
      <c r="C965" s="98" t="s">
        <v>1162</v>
      </c>
      <c r="D965" s="54" t="s">
        <v>38</v>
      </c>
      <c r="E965" s="53">
        <v>2</v>
      </c>
      <c r="F965" s="101">
        <f t="shared" si="223"/>
        <v>1376</v>
      </c>
      <c r="G965" s="101">
        <f t="shared" si="224"/>
        <v>1377</v>
      </c>
      <c r="H965" s="10" t="str">
        <f t="shared" si="225"/>
        <v>IF IFI14_4&lt;=6</v>
      </c>
      <c r="I965" s="110" t="str">
        <f t="shared" si="217"/>
        <v>IFI16_4</v>
      </c>
    </row>
    <row r="966" spans="1:9" ht="25.5" x14ac:dyDescent="0.25">
      <c r="A966" s="107" t="s">
        <v>1166</v>
      </c>
      <c r="B966" s="111" t="str">
        <f>A966&amp;".If you want to get to "&amp;Other!AB6&amp;", how would you get there? Would you…? "</f>
        <v xml:space="preserve">IFI16.5.If you want to get to A retail store/kiosk with over-the-counter MM services, how would you get there? Would you…? </v>
      </c>
      <c r="C966" s="98" t="s">
        <v>1162</v>
      </c>
      <c r="D966" s="54" t="s">
        <v>38</v>
      </c>
      <c r="E966" s="53">
        <v>2</v>
      </c>
      <c r="F966" s="101">
        <f t="shared" si="223"/>
        <v>1378</v>
      </c>
      <c r="G966" s="101">
        <f t="shared" si="224"/>
        <v>1379</v>
      </c>
      <c r="H966" s="10" t="str">
        <f t="shared" si="225"/>
        <v>IF IFI14_5&lt;=6</v>
      </c>
      <c r="I966" s="110" t="str">
        <f t="shared" si="217"/>
        <v>IFI16_5</v>
      </c>
    </row>
    <row r="967" spans="1:9" x14ac:dyDescent="0.25">
      <c r="A967" s="110" t="s">
        <v>1167</v>
      </c>
      <c r="B967" s="96" t="str">
        <f>A967&amp;".If you want to get to "&amp;Other!AB7&amp;", how would you get there? Would you…? "</f>
        <v xml:space="preserve">IFI16.6.If you want to get to BPR, how would you get there? Would you…? </v>
      </c>
      <c r="C967" s="98" t="s">
        <v>1162</v>
      </c>
      <c r="D967" s="54" t="s">
        <v>38</v>
      </c>
      <c r="E967" s="53">
        <v>2</v>
      </c>
      <c r="F967" s="101">
        <f t="shared" si="223"/>
        <v>1380</v>
      </c>
      <c r="G967" s="101">
        <f t="shared" si="224"/>
        <v>1381</v>
      </c>
      <c r="H967" s="10" t="str">
        <f t="shared" si="225"/>
        <v>IF IFI14_6&lt;=6</v>
      </c>
      <c r="I967" s="110" t="str">
        <f t="shared" si="217"/>
        <v>IFI16_6</v>
      </c>
    </row>
    <row r="968" spans="1:9" ht="25.5" x14ac:dyDescent="0.25">
      <c r="A968" s="110" t="s">
        <v>1168</v>
      </c>
      <c r="B968" s="96" t="str">
        <f>A968&amp;".If you want to get to "&amp;Other!AB8&amp;", how would you get there? Would you…? "</f>
        <v xml:space="preserve">IFI16.7.If you want to get to Cooperative/Ventura , how would you get there? Would you…? </v>
      </c>
      <c r="C968" s="98" t="s">
        <v>1162</v>
      </c>
      <c r="D968" s="54" t="s">
        <v>38</v>
      </c>
      <c r="E968" s="53">
        <v>2</v>
      </c>
      <c r="F968" s="101">
        <f t="shared" si="223"/>
        <v>1382</v>
      </c>
      <c r="G968" s="101">
        <f t="shared" si="224"/>
        <v>1383</v>
      </c>
      <c r="H968" s="10" t="str">
        <f t="shared" si="225"/>
        <v>IF IFI14_7&lt;=6</v>
      </c>
      <c r="I968" s="110" t="str">
        <f t="shared" si="217"/>
        <v>IFI16_7</v>
      </c>
    </row>
    <row r="969" spans="1:9" ht="25.5" x14ac:dyDescent="0.25">
      <c r="A969" s="110" t="s">
        <v>1169</v>
      </c>
      <c r="B969" s="96" t="str">
        <f>A969&amp;".If you want to get to "&amp;Other!AB9&amp;", how would you get there? Would you…? "</f>
        <v xml:space="preserve">IFI16.8.If you want to get to Semi-formal/informal financial or savings  group (Arisan, kelompok tani/ternak, dll), how would you get there? Would you…? </v>
      </c>
      <c r="C969" s="98" t="s">
        <v>1162</v>
      </c>
      <c r="D969" s="54" t="s">
        <v>38</v>
      </c>
      <c r="E969" s="53">
        <v>2</v>
      </c>
      <c r="F969" s="101">
        <f t="shared" si="223"/>
        <v>1384</v>
      </c>
      <c r="G969" s="101">
        <f t="shared" si="224"/>
        <v>1385</v>
      </c>
      <c r="H969" s="10" t="str">
        <f t="shared" si="225"/>
        <v>IF IFI14_8&lt;=6</v>
      </c>
      <c r="I969" s="110" t="str">
        <f t="shared" si="217"/>
        <v>IFI16_8</v>
      </c>
    </row>
    <row r="970" spans="1:9" x14ac:dyDescent="0.25">
      <c r="A970" s="110" t="s">
        <v>1170</v>
      </c>
      <c r="B970" s="96" t="str">
        <f>A970&amp;".If you want to get to "&amp;Other!AB10&amp;", how would you get there? Would you…? "</f>
        <v xml:space="preserve">IFI16.9.If you want to get to Pawnshop, how would you get there? Would you…? </v>
      </c>
      <c r="C970" s="98" t="s">
        <v>1162</v>
      </c>
      <c r="D970" s="54" t="s">
        <v>38</v>
      </c>
      <c r="E970" s="53">
        <v>2</v>
      </c>
      <c r="F970" s="101">
        <f t="shared" si="223"/>
        <v>1386</v>
      </c>
      <c r="G970" s="101">
        <f t="shared" si="224"/>
        <v>1387</v>
      </c>
      <c r="H970" s="10" t="str">
        <f t="shared" ref="H970" si="226">"IF "&amp;I952&amp;"&lt;=6"</f>
        <v>IF IFI14_9&lt;=6</v>
      </c>
      <c r="I970" s="110" t="str">
        <f t="shared" ref="I970" si="227">LEFT(A970,5) &amp; "_" &amp;RIGHT(A970,1)</f>
        <v>IFI16_9</v>
      </c>
    </row>
    <row r="971" spans="1:9" ht="76.5" x14ac:dyDescent="0.25">
      <c r="A971" s="110" t="s">
        <v>1171</v>
      </c>
      <c r="B971" s="96" t="str">
        <f>A971&amp;".On a scale from 1 to 5, with 1 being very easy and 5 being very difficult, how difficult it would be for you to go to the closest…? "&amp;Other!AB2</f>
        <v>IFI17.1.On a scale from 1 to 5, with 1 being very easy and 5 being very difficult, how difficult it would be for you to go to the closest…? Bank branch</v>
      </c>
      <c r="C971" s="96" t="s">
        <v>1172</v>
      </c>
      <c r="D971" s="54" t="s">
        <v>38</v>
      </c>
      <c r="E971" s="53">
        <v>2</v>
      </c>
      <c r="F971" s="101">
        <f t="shared" si="223"/>
        <v>1388</v>
      </c>
      <c r="G971" s="101">
        <f t="shared" si="224"/>
        <v>1389</v>
      </c>
      <c r="H971" s="10" t="s">
        <v>1173</v>
      </c>
      <c r="I971" s="110" t="str">
        <f t="shared" si="217"/>
        <v>IFI17_1</v>
      </c>
    </row>
    <row r="972" spans="1:9" ht="76.5" x14ac:dyDescent="0.25">
      <c r="A972" s="110" t="s">
        <v>1174</v>
      </c>
      <c r="B972" s="96" t="str">
        <f>A972&amp;".On a scale from 1 to 5, with 1 being very easy and 5 being very difficult, how difficult it would be for you to go to the closest…? "&amp;Other!AB3</f>
        <v>IFI17.2.On a scale from 1 to 5, with 1 being very easy and 5 being very difficult, how difficult it would be for you to go to the closest…? ATM</v>
      </c>
      <c r="C972" s="96" t="s">
        <v>1172</v>
      </c>
      <c r="D972" s="54" t="s">
        <v>38</v>
      </c>
      <c r="E972" s="53">
        <v>2</v>
      </c>
      <c r="F972" s="101">
        <f t="shared" si="218"/>
        <v>1390</v>
      </c>
      <c r="G972" s="101">
        <f t="shared" si="219"/>
        <v>1391</v>
      </c>
      <c r="H972" s="10" t="s">
        <v>1175</v>
      </c>
      <c r="I972" s="110" t="str">
        <f t="shared" si="217"/>
        <v>IFI17_2</v>
      </c>
    </row>
    <row r="973" spans="1:9" ht="76.5" x14ac:dyDescent="0.25">
      <c r="A973" s="110" t="s">
        <v>1176</v>
      </c>
      <c r="B973" s="96" t="str">
        <f>A973&amp;".On a scale from 1 to 5, with 1 being very easy and 5 being very difficult, how difficult it would be for you to go to the closest…? "&amp;Other!AB4</f>
        <v>IFI17.3.On a scale from 1 to 5, with 1 being very easy and 5 being very difficult, how difficult it would be for you to go to the closest…? A Mobile money agent</v>
      </c>
      <c r="C973" s="96" t="s">
        <v>1172</v>
      </c>
      <c r="D973" s="54" t="s">
        <v>38</v>
      </c>
      <c r="E973" s="53">
        <v>2</v>
      </c>
      <c r="F973" s="101">
        <f t="shared" si="218"/>
        <v>1392</v>
      </c>
      <c r="G973" s="101">
        <f t="shared" si="219"/>
        <v>1393</v>
      </c>
      <c r="H973" s="10" t="s">
        <v>1177</v>
      </c>
      <c r="I973" s="110" t="str">
        <f t="shared" si="217"/>
        <v>IFI17_3</v>
      </c>
    </row>
    <row r="974" spans="1:9" ht="76.5" x14ac:dyDescent="0.25">
      <c r="A974" s="110" t="s">
        <v>1178</v>
      </c>
      <c r="B974" s="96" t="str">
        <f>A974&amp;".On a scale from 1 to 5, with 1 being very easy and 5 being very difficult, how difficult it would be for you to go to the closest…? "&amp;Other!AB5</f>
        <v>IFI17.4.On a scale from 1 to 5, with 1 being very easy and 5 being very difficult, how difficult it would be for you to go to the closest…? A Banking agent</v>
      </c>
      <c r="C974" s="96" t="s">
        <v>1172</v>
      </c>
      <c r="D974" s="54" t="s">
        <v>38</v>
      </c>
      <c r="E974" s="53">
        <v>2</v>
      </c>
      <c r="F974" s="101">
        <f t="shared" si="218"/>
        <v>1394</v>
      </c>
      <c r="G974" s="101">
        <f t="shared" si="219"/>
        <v>1395</v>
      </c>
      <c r="H974" s="10" t="s">
        <v>1179</v>
      </c>
      <c r="I974" s="110" t="str">
        <f t="shared" si="217"/>
        <v>IFI17_4</v>
      </c>
    </row>
    <row r="975" spans="1:9" ht="76.5" x14ac:dyDescent="0.25">
      <c r="A975" s="110" t="s">
        <v>1180</v>
      </c>
      <c r="B975" s="96" t="str">
        <f>A975&amp;".On a scale from 1 to 5, with 1 being very easy and 5 being very difficult, how difficult it would be for you to go to the closest…? "&amp;Other!AB6</f>
        <v>IFI17.5.On a scale from 1 to 5, with 1 being very easy and 5 being very difficult, how difficult it would be for you to go to the closest…? A retail store/kiosk with over-the-counter MM services</v>
      </c>
      <c r="C975" s="96" t="s">
        <v>1172</v>
      </c>
      <c r="D975" s="54" t="s">
        <v>38</v>
      </c>
      <c r="E975" s="53">
        <v>2</v>
      </c>
      <c r="F975" s="101">
        <f t="shared" si="218"/>
        <v>1396</v>
      </c>
      <c r="G975" s="101">
        <f t="shared" si="219"/>
        <v>1397</v>
      </c>
      <c r="H975" s="10" t="s">
        <v>1181</v>
      </c>
      <c r="I975" s="110" t="str">
        <f t="shared" si="217"/>
        <v>IFI17_5</v>
      </c>
    </row>
    <row r="976" spans="1:9" ht="76.5" x14ac:dyDescent="0.25">
      <c r="A976" s="110" t="s">
        <v>1182</v>
      </c>
      <c r="B976" s="96" t="str">
        <f>A976&amp;".On a scale from 1 to 5, with 1 being very easy and 5 being very difficult, how difficult it would be for you to go to the closest…? "&amp;Other!AB7</f>
        <v>IFI17.6.On a scale from 1 to 5, with 1 being very easy and 5 being very difficult, how difficult it would be for you to go to the closest…? BPR</v>
      </c>
      <c r="C976" s="96" t="s">
        <v>1172</v>
      </c>
      <c r="D976" s="54" t="s">
        <v>38</v>
      </c>
      <c r="E976" s="53">
        <v>2</v>
      </c>
      <c r="F976" s="101">
        <f t="shared" si="218"/>
        <v>1398</v>
      </c>
      <c r="G976" s="101">
        <f t="shared" si="219"/>
        <v>1399</v>
      </c>
      <c r="H976" s="10" t="s">
        <v>1183</v>
      </c>
      <c r="I976" s="110" t="str">
        <f t="shared" si="217"/>
        <v>IFI17_6</v>
      </c>
    </row>
    <row r="977" spans="1:9" ht="76.5" x14ac:dyDescent="0.25">
      <c r="A977" s="110" t="s">
        <v>1184</v>
      </c>
      <c r="B977" s="96" t="str">
        <f>A977&amp;".On a scale from 1 to 5, with 1 being very easy and 5 being very difficult, how difficult it would be for you to go to the closest…? "&amp;Other!AB8</f>
        <v xml:space="preserve">IFI17.7.On a scale from 1 to 5, with 1 being very easy and 5 being very difficult, how difficult it would be for you to go to the closest…? Cooperative/Ventura </v>
      </c>
      <c r="C977" s="96" t="s">
        <v>1172</v>
      </c>
      <c r="D977" s="54" t="s">
        <v>38</v>
      </c>
      <c r="E977" s="53">
        <v>2</v>
      </c>
      <c r="F977" s="101">
        <f t="shared" si="218"/>
        <v>1400</v>
      </c>
      <c r="G977" s="101">
        <f t="shared" si="219"/>
        <v>1401</v>
      </c>
      <c r="H977" s="10" t="s">
        <v>1185</v>
      </c>
      <c r="I977" s="110" t="str">
        <f t="shared" si="217"/>
        <v>IFI17_7</v>
      </c>
    </row>
    <row r="978" spans="1:9" ht="76.5" x14ac:dyDescent="0.25">
      <c r="A978" s="110" t="s">
        <v>1186</v>
      </c>
      <c r="B978" s="96" t="str">
        <f>A978&amp;".On a scale from 1 to 5, with 1 being very easy and 5 being very difficult, how difficult it would be for you to go to the closest…? "&amp;Other!AB9</f>
        <v>IFI17.8.On a scale from 1 to 5, with 1 being very easy and 5 being very difficult, how difficult it would be for you to go to the closest…? Semi-formal/informal financial or savings  group (Arisan, kelompok tani/ternak, dll)</v>
      </c>
      <c r="C978" s="96" t="s">
        <v>1172</v>
      </c>
      <c r="D978" s="54" t="s">
        <v>38</v>
      </c>
      <c r="E978" s="53">
        <v>2</v>
      </c>
      <c r="F978" s="101">
        <f t="shared" si="218"/>
        <v>1402</v>
      </c>
      <c r="G978" s="101">
        <f t="shared" si="219"/>
        <v>1403</v>
      </c>
      <c r="H978" s="10" t="s">
        <v>1187</v>
      </c>
      <c r="I978" s="110" t="str">
        <f t="shared" si="217"/>
        <v>IFI17_8</v>
      </c>
    </row>
    <row r="979" spans="1:9" ht="76.5" x14ac:dyDescent="0.25">
      <c r="A979" s="110" t="s">
        <v>1188</v>
      </c>
      <c r="B979" s="96" t="str">
        <f>A979&amp;".On a scale from 1 to 5, with 1 being very easy and 5 being very difficult, how difficult it would be for you to go to the closest…? "&amp;Other!AB10</f>
        <v>IFI17.9.On a scale from 1 to 5, with 1 being very easy and 5 being very difficult, how difficult it would be for you to go to the closest…? Pawnshop</v>
      </c>
      <c r="C979" s="96" t="s">
        <v>1172</v>
      </c>
      <c r="D979" s="54" t="s">
        <v>38</v>
      </c>
      <c r="E979" s="53">
        <v>2</v>
      </c>
      <c r="F979" s="101">
        <f t="shared" ref="F979" si="228">G978+1</f>
        <v>1404</v>
      </c>
      <c r="G979" s="101">
        <f t="shared" ref="G979" si="229">G978+E979</f>
        <v>1405</v>
      </c>
      <c r="H979" s="10" t="s">
        <v>1189</v>
      </c>
      <c r="I979" s="110" t="str">
        <f t="shared" ref="I979" si="230">LEFT(A979,5) &amp; "_" &amp;RIGHT(A979,1)</f>
        <v>IFI17_9</v>
      </c>
    </row>
    <row r="980" spans="1:9" s="3" customFormat="1" x14ac:dyDescent="0.25">
      <c r="A980" s="121" t="s">
        <v>1190</v>
      </c>
      <c r="B980" s="122" t="s">
        <v>379</v>
      </c>
      <c r="C980" s="122" t="s">
        <v>379</v>
      </c>
      <c r="D980" s="122" t="s">
        <v>379</v>
      </c>
      <c r="E980" s="122" t="s">
        <v>379</v>
      </c>
      <c r="F980" s="122" t="s">
        <v>379</v>
      </c>
      <c r="G980" s="122" t="s">
        <v>379</v>
      </c>
      <c r="H980" s="122" t="s">
        <v>379</v>
      </c>
      <c r="I980" s="123" t="s">
        <v>379</v>
      </c>
    </row>
    <row r="981" spans="1:9" s="3" customFormat="1" x14ac:dyDescent="0.25">
      <c r="A981" s="51" t="s">
        <v>4</v>
      </c>
      <c r="B981" s="52" t="s">
        <v>5</v>
      </c>
      <c r="C981" s="52" t="s">
        <v>6</v>
      </c>
      <c r="D981" s="51" t="s">
        <v>7</v>
      </c>
      <c r="E981" s="52" t="s">
        <v>8</v>
      </c>
      <c r="F981" s="52" t="s">
        <v>9</v>
      </c>
      <c r="G981" s="52" t="s">
        <v>10</v>
      </c>
      <c r="H981" s="52" t="s">
        <v>11</v>
      </c>
      <c r="I981" s="51" t="s">
        <v>12</v>
      </c>
    </row>
    <row r="982" spans="1:9" s="3" customFormat="1" ht="25.5" x14ac:dyDescent="0.25">
      <c r="A982" s="112" t="s">
        <v>1191</v>
      </c>
      <c r="B982" s="90" t="str">
        <f>A982&amp;".How many informal societies or group saving schemes do you personally belong to?"</f>
        <v>IFI18.How many informal societies or group saving schemes do you personally belong to?</v>
      </c>
      <c r="C982" s="90" t="s">
        <v>83</v>
      </c>
      <c r="D982" s="53" t="s">
        <v>38</v>
      </c>
      <c r="E982" s="53">
        <v>2</v>
      </c>
      <c r="F982" s="101">
        <f>G979+1</f>
        <v>1406</v>
      </c>
      <c r="G982" s="101">
        <f>G979+E982</f>
        <v>1407</v>
      </c>
      <c r="H982" s="3" t="s">
        <v>17</v>
      </c>
      <c r="I982" s="110" t="str">
        <f>A982</f>
        <v>IFI18</v>
      </c>
    </row>
    <row r="983" spans="1:9" s="3" customFormat="1" ht="38.25" x14ac:dyDescent="0.25">
      <c r="A983" s="112" t="s">
        <v>1192</v>
      </c>
      <c r="B983" s="90" t="str">
        <f>A983&amp;".Do you receive the following services through any of the informal societies or group  saving schemes that you personally belong to? "&amp;Other!AC2</f>
        <v>IFI20.1.Do you receive the following services through any of the informal societies or group  saving schemes that you personally belong to? Welfare/clan group – we help each other out for things like funerals</v>
      </c>
      <c r="C983" s="90" t="s">
        <v>864</v>
      </c>
      <c r="D983" s="53" t="s">
        <v>38</v>
      </c>
      <c r="E983" s="53">
        <v>1</v>
      </c>
      <c r="F983" s="101">
        <f>G982+1</f>
        <v>1408</v>
      </c>
      <c r="G983" s="101">
        <f>G982+E983</f>
        <v>1408</v>
      </c>
      <c r="H983" s="3" t="s">
        <v>1193</v>
      </c>
      <c r="I983" s="110" t="str">
        <f t="shared" ref="I983:I1000" si="231">LEFT(A983,5) &amp; "_" &amp;RIGHT(A983,1)</f>
        <v>IFI20_1</v>
      </c>
    </row>
    <row r="984" spans="1:9" s="3" customFormat="1" ht="25.5" x14ac:dyDescent="0.25">
      <c r="A984" s="112" t="s">
        <v>1194</v>
      </c>
      <c r="B984" s="90" t="str">
        <f>A984&amp;".Do you receive the following services through any of the informal societies or group  saving schemes that you personally belong to? "&amp;Other!AC3</f>
        <v xml:space="preserve">IFI20.2.Do you receive the following services through any of the informal societies or group  saving schemes that you personally belong to? We receive loan/credit </v>
      </c>
      <c r="C984" s="90" t="s">
        <v>864</v>
      </c>
      <c r="D984" s="53" t="s">
        <v>38</v>
      </c>
      <c r="E984" s="53">
        <v>1</v>
      </c>
      <c r="F984" s="101">
        <f t="shared" ref="F984:F987" si="232">G983+1</f>
        <v>1409</v>
      </c>
      <c r="G984" s="101">
        <f t="shared" ref="G984:G987" si="233">G983+E984</f>
        <v>1409</v>
      </c>
      <c r="H984" s="3" t="s">
        <v>1193</v>
      </c>
      <c r="I984" s="110" t="str">
        <f t="shared" si="231"/>
        <v>IFI20_2</v>
      </c>
    </row>
    <row r="985" spans="1:9" s="3" customFormat="1" ht="38.25" x14ac:dyDescent="0.25">
      <c r="A985" s="112" t="s">
        <v>1195</v>
      </c>
      <c r="B985" s="90" t="str">
        <f>A985&amp;".Do you receive the following services through any of the informal societies or group  saving schemes that you personally belong to? "&amp;Other!AC4</f>
        <v>IFI20.3.Do you receive the following services through any of the informal societies or group  saving schemes that you personally belong to? We collect money and give to each member a lump sum (pot) or gift in turn</v>
      </c>
      <c r="C985" s="90" t="s">
        <v>864</v>
      </c>
      <c r="D985" s="53" t="s">
        <v>38</v>
      </c>
      <c r="E985" s="53">
        <v>1</v>
      </c>
      <c r="F985" s="101">
        <f t="shared" si="232"/>
        <v>1410</v>
      </c>
      <c r="G985" s="101">
        <f t="shared" si="233"/>
        <v>1410</v>
      </c>
      <c r="H985" s="3" t="s">
        <v>1193</v>
      </c>
      <c r="I985" s="110" t="str">
        <f t="shared" si="231"/>
        <v>IFI20_3</v>
      </c>
    </row>
    <row r="986" spans="1:9" s="3" customFormat="1" ht="38.25" x14ac:dyDescent="0.25">
      <c r="A986" s="112" t="s">
        <v>1196</v>
      </c>
      <c r="B986" s="90" t="str">
        <f>A986&amp;".Do you receive the following services through any of the informal societies or group  saving schemes that you personally belong to? "&amp;Other!AC5</f>
        <v>IFI20.4.Do you receive the following services through any of the informal societies or group  saving schemes that you personally belong to? We save and lend money to members and/or non-members to be repaid with interest</v>
      </c>
      <c r="C986" s="90" t="s">
        <v>864</v>
      </c>
      <c r="D986" s="53" t="s">
        <v>38</v>
      </c>
      <c r="E986" s="53">
        <v>1</v>
      </c>
      <c r="F986" s="101">
        <f t="shared" si="232"/>
        <v>1411</v>
      </c>
      <c r="G986" s="101">
        <f t="shared" si="233"/>
        <v>1411</v>
      </c>
      <c r="H986" s="3" t="s">
        <v>1193</v>
      </c>
      <c r="I986" s="110" t="str">
        <f t="shared" si="231"/>
        <v>IFI20_4</v>
      </c>
    </row>
    <row r="987" spans="1:9" s="3" customFormat="1" ht="38.25" x14ac:dyDescent="0.25">
      <c r="A987" s="112" t="s">
        <v>1197</v>
      </c>
      <c r="B987" s="90" t="str">
        <f>A987&amp;".Do you receive the following services through any of the informal societies or group  saving schemes that you personally belong to? "&amp;Other!AC6</f>
        <v>IFI20.5.Do you receive the following services through any of the informal societies or group  saving schemes that you personally belong to? We periodically distribute all monies held by the group to its members</v>
      </c>
      <c r="C987" s="90" t="s">
        <v>864</v>
      </c>
      <c r="D987" s="53" t="s">
        <v>38</v>
      </c>
      <c r="E987" s="53">
        <v>1</v>
      </c>
      <c r="F987" s="101">
        <f t="shared" si="232"/>
        <v>1412</v>
      </c>
      <c r="G987" s="101">
        <f t="shared" si="233"/>
        <v>1412</v>
      </c>
      <c r="H987" s="3" t="s">
        <v>1193</v>
      </c>
      <c r="I987" s="110" t="str">
        <f t="shared" si="231"/>
        <v>IFI20_5</v>
      </c>
    </row>
    <row r="988" spans="1:9" s="3" customFormat="1" ht="38.25" x14ac:dyDescent="0.25">
      <c r="A988" s="112" t="s">
        <v>1198</v>
      </c>
      <c r="B988" s="90" t="str">
        <f>A988&amp;".Do you receive the following services through any of the informal societies or group  saving schemes that you personally belong to? "&amp;Other!AC7</f>
        <v>IFI20.6.Do you receive the following services through any of the informal societies or group  saving schemes that you personally belong to? We save together and put the money in an account</v>
      </c>
      <c r="C988" s="90" t="s">
        <v>864</v>
      </c>
      <c r="D988" s="53" t="s">
        <v>38</v>
      </c>
      <c r="E988" s="53">
        <v>1</v>
      </c>
      <c r="F988" s="101">
        <f t="shared" ref="F988:F1001" si="234">G987+1</f>
        <v>1413</v>
      </c>
      <c r="G988" s="101">
        <f t="shared" ref="G988:G1001" si="235">G987+E988</f>
        <v>1413</v>
      </c>
      <c r="H988" s="3" t="s">
        <v>1193</v>
      </c>
      <c r="I988" s="110" t="str">
        <f t="shared" si="231"/>
        <v>IFI20_6</v>
      </c>
    </row>
    <row r="989" spans="1:9" s="3" customFormat="1" ht="33" customHeight="1" x14ac:dyDescent="0.25">
      <c r="A989" s="112" t="s">
        <v>1199</v>
      </c>
      <c r="B989" s="90" t="str">
        <f>A989&amp;".Do you receive the following services through any of the informal societies or group  saving schemes that you personally belong to? "&amp;Other!AC8</f>
        <v>IFI20.7.Do you receive the following services through any of the informal societies or group  saving schemes that you personally belong to? We make other kinds of investments as a group e.g. property, business</v>
      </c>
      <c r="C989" s="90" t="s">
        <v>864</v>
      </c>
      <c r="D989" s="53" t="s">
        <v>38</v>
      </c>
      <c r="E989" s="53">
        <v>1</v>
      </c>
      <c r="F989" s="101">
        <f t="shared" si="234"/>
        <v>1414</v>
      </c>
      <c r="G989" s="101">
        <f t="shared" si="235"/>
        <v>1414</v>
      </c>
      <c r="H989" s="3" t="s">
        <v>1193</v>
      </c>
      <c r="I989" s="110" t="str">
        <f t="shared" si="231"/>
        <v>IFI20_7</v>
      </c>
    </row>
    <row r="990" spans="1:9" s="3" customFormat="1" ht="38.25" x14ac:dyDescent="0.25">
      <c r="A990" s="112" t="s">
        <v>1200</v>
      </c>
      <c r="B990" s="90" t="str">
        <f>A990&amp;".Do you receive the following services through any of the informal societies or group  saving schemes that you personally belong to? "&amp;Other!AC9</f>
        <v>IFI20.8.Do you receive the following services through any of the informal societies or group  saving schemes that you personally belong to? We invest in the stock market as a group</v>
      </c>
      <c r="C990" s="90" t="s">
        <v>864</v>
      </c>
      <c r="D990" s="53" t="s">
        <v>38</v>
      </c>
      <c r="E990" s="53">
        <v>1</v>
      </c>
      <c r="F990" s="101">
        <f t="shared" si="234"/>
        <v>1415</v>
      </c>
      <c r="G990" s="101">
        <f t="shared" si="235"/>
        <v>1415</v>
      </c>
      <c r="H990" s="3" t="s">
        <v>1193</v>
      </c>
      <c r="I990" s="110" t="str">
        <f t="shared" si="231"/>
        <v>IFI20_8</v>
      </c>
    </row>
    <row r="991" spans="1:9" s="3" customFormat="1" ht="38.25" x14ac:dyDescent="0.25">
      <c r="A991" s="112" t="s">
        <v>1201</v>
      </c>
      <c r="B991" s="90" t="str">
        <f>A991&amp;".Do you receive the following services through any of the informal societies or group  saving schemes that you personally belong to? "&amp;Other!AC10</f>
        <v>IFI20.9.Do you receive the following services through any of the informal societies or group  saving schemes that you personally belong to? we formed a group to borrow money from bank or MFI  for business purpose</v>
      </c>
      <c r="C991" s="90" t="s">
        <v>864</v>
      </c>
      <c r="D991" s="53" t="s">
        <v>38</v>
      </c>
      <c r="E991" s="53">
        <v>1</v>
      </c>
      <c r="F991" s="101">
        <f t="shared" si="234"/>
        <v>1416</v>
      </c>
      <c r="G991" s="101">
        <f t="shared" si="235"/>
        <v>1416</v>
      </c>
      <c r="H991" s="3" t="s">
        <v>1193</v>
      </c>
      <c r="I991" s="110" t="str">
        <f t="shared" ref="I991" si="236">LEFT(A991,5) &amp; "_" &amp;RIGHT(A991,1)</f>
        <v>IFI20_9</v>
      </c>
    </row>
    <row r="992" spans="1:9" s="3" customFormat="1" ht="25.5" x14ac:dyDescent="0.25">
      <c r="A992" s="112" t="s">
        <v>1202</v>
      </c>
      <c r="B992" s="90" t="s">
        <v>1203</v>
      </c>
      <c r="C992" s="95" t="s">
        <v>1204</v>
      </c>
      <c r="D992" s="53" t="s">
        <v>38</v>
      </c>
      <c r="E992" s="53">
        <v>2</v>
      </c>
      <c r="F992" s="101">
        <f t="shared" si="234"/>
        <v>1417</v>
      </c>
      <c r="G992" s="101">
        <f t="shared" si="235"/>
        <v>1418</v>
      </c>
      <c r="H992" s="3" t="s">
        <v>1193</v>
      </c>
      <c r="I992" s="110" t="str">
        <f>A992</f>
        <v>IFI21</v>
      </c>
    </row>
    <row r="993" spans="1:9" s="3" customFormat="1" ht="25.5" x14ac:dyDescent="0.25">
      <c r="A993" s="112" t="s">
        <v>1205</v>
      </c>
      <c r="B993" s="90" t="str">
        <f>A993&amp;".Have you experienced any of the following with an informal society/group you belong to? "&amp;Other!AD2</f>
        <v>IFI22.1.Have you experienced any of the following with an informal society/group you belong to? Lost money through theft or fraud by someone outside the group</v>
      </c>
      <c r="C993" s="90" t="s">
        <v>864</v>
      </c>
      <c r="D993" s="53" t="s">
        <v>38</v>
      </c>
      <c r="E993" s="53">
        <v>1</v>
      </c>
      <c r="F993" s="101">
        <f t="shared" si="234"/>
        <v>1419</v>
      </c>
      <c r="G993" s="101">
        <f t="shared" si="235"/>
        <v>1419</v>
      </c>
      <c r="H993" s="3" t="s">
        <v>1193</v>
      </c>
      <c r="I993" s="110" t="str">
        <f t="shared" si="231"/>
        <v>IFI22_1</v>
      </c>
    </row>
    <row r="994" spans="1:9" s="3" customFormat="1" ht="25.5" x14ac:dyDescent="0.25">
      <c r="A994" s="112" t="s">
        <v>1206</v>
      </c>
      <c r="B994" s="90" t="str">
        <f>A994&amp;".Have you experienced any of the following with an informal society/group you belong to? "&amp;Other!AD3</f>
        <v>IFI22.2.Have you experienced any of the following with an informal society/group you belong to? Lost money through theft or fraud by a committee member</v>
      </c>
      <c r="C994" s="90" t="s">
        <v>864</v>
      </c>
      <c r="D994" s="53" t="s">
        <v>38</v>
      </c>
      <c r="E994" s="53">
        <v>1</v>
      </c>
      <c r="F994" s="101">
        <f t="shared" si="234"/>
        <v>1420</v>
      </c>
      <c r="G994" s="101">
        <f t="shared" si="235"/>
        <v>1420</v>
      </c>
      <c r="H994" s="3" t="s">
        <v>1193</v>
      </c>
      <c r="I994" s="110" t="str">
        <f t="shared" si="231"/>
        <v>IFI22_2</v>
      </c>
    </row>
    <row r="995" spans="1:9" s="3" customFormat="1" ht="25.5" x14ac:dyDescent="0.25">
      <c r="A995" s="112" t="s">
        <v>1207</v>
      </c>
      <c r="B995" s="90" t="str">
        <f>A995&amp;".Have you experienced any of the following with an informal society/group you belong to? "&amp;Other!AD4</f>
        <v>IFI22.3.Have you experienced any of the following with an informal society/group you belong to? Lost money through bad investment of funds</v>
      </c>
      <c r="C995" s="90" t="s">
        <v>864</v>
      </c>
      <c r="D995" s="53" t="s">
        <v>38</v>
      </c>
      <c r="E995" s="53">
        <v>1</v>
      </c>
      <c r="F995" s="101">
        <f t="shared" si="234"/>
        <v>1421</v>
      </c>
      <c r="G995" s="101">
        <f t="shared" si="235"/>
        <v>1421</v>
      </c>
      <c r="H995" s="3" t="s">
        <v>1193</v>
      </c>
      <c r="I995" s="110" t="str">
        <f t="shared" si="231"/>
        <v>IFI22_3</v>
      </c>
    </row>
    <row r="996" spans="1:9" s="3" customFormat="1" ht="25.5" x14ac:dyDescent="0.25">
      <c r="A996" s="112" t="s">
        <v>1208</v>
      </c>
      <c r="B996" s="90" t="str">
        <f>A996&amp;".Have you experienced any of the following with an informal society/group you belong to? "&amp;Other!AD5</f>
        <v>IFI22.4.Have you experienced any of the following with an informal society/group you belong to? Loss of membership through death or membership cancellation</v>
      </c>
      <c r="C996" s="90" t="s">
        <v>864</v>
      </c>
      <c r="D996" s="53" t="s">
        <v>38</v>
      </c>
      <c r="E996" s="53">
        <v>1</v>
      </c>
      <c r="F996" s="101">
        <f t="shared" si="234"/>
        <v>1422</v>
      </c>
      <c r="G996" s="101">
        <f t="shared" si="235"/>
        <v>1422</v>
      </c>
      <c r="H996" s="3" t="s">
        <v>1193</v>
      </c>
      <c r="I996" s="110" t="str">
        <f t="shared" si="231"/>
        <v>IFI22_4</v>
      </c>
    </row>
    <row r="997" spans="1:9" s="3" customFormat="1" ht="25.5" x14ac:dyDescent="0.25">
      <c r="A997" s="112" t="s">
        <v>1209</v>
      </c>
      <c r="B997" s="90" t="str">
        <f>A997&amp;".Have you experienced any of the following with an informal society/group you belong to? "&amp;Other!AD6</f>
        <v>IFI22.5.Have you experienced any of the following with an informal society/group you belong to? Poor leadership/ disagreement within the group</v>
      </c>
      <c r="C997" s="90" t="s">
        <v>864</v>
      </c>
      <c r="D997" s="53" t="s">
        <v>38</v>
      </c>
      <c r="E997" s="53">
        <v>1</v>
      </c>
      <c r="F997" s="101">
        <f t="shared" si="234"/>
        <v>1423</v>
      </c>
      <c r="G997" s="101">
        <f t="shared" si="235"/>
        <v>1423</v>
      </c>
      <c r="H997" s="3" t="s">
        <v>1193</v>
      </c>
      <c r="I997" s="110" t="str">
        <f t="shared" si="231"/>
        <v>IFI22_5</v>
      </c>
    </row>
    <row r="998" spans="1:9" s="3" customFormat="1" ht="25.5" x14ac:dyDescent="0.25">
      <c r="A998" s="112" t="s">
        <v>1210</v>
      </c>
      <c r="B998" s="90" t="str">
        <f>A998&amp;".Have you experienced any of the following with an informal society/group you belong to? "&amp;Other!AD7</f>
        <v>IFI22.6.Have you experienced any of the following with an informal society/group you belong to? Money/cash not available immediately</v>
      </c>
      <c r="C998" s="90" t="s">
        <v>864</v>
      </c>
      <c r="D998" s="53" t="s">
        <v>38</v>
      </c>
      <c r="E998" s="53">
        <v>1</v>
      </c>
      <c r="F998" s="101">
        <f t="shared" si="234"/>
        <v>1424</v>
      </c>
      <c r="G998" s="101">
        <f t="shared" si="235"/>
        <v>1424</v>
      </c>
      <c r="H998" s="3" t="s">
        <v>1193</v>
      </c>
      <c r="I998" s="110" t="str">
        <f t="shared" si="231"/>
        <v>IFI22_6</v>
      </c>
    </row>
    <row r="999" spans="1:9" s="3" customFormat="1" ht="38.25" x14ac:dyDescent="0.25">
      <c r="A999" s="112" t="s">
        <v>1211</v>
      </c>
      <c r="B999" s="90" t="str">
        <f>A999&amp;".Are any of your savings and loans groups linked to a mobile money group wallet or do they have a bank account? "&amp;"Linked to a bank/has an account with a bank"</f>
        <v>IFI23.1.Are any of your savings and loans groups linked to a mobile money group wallet or do they have a bank account? Linked to a bank/has an account with a bank</v>
      </c>
      <c r="C999" s="90" t="s">
        <v>864</v>
      </c>
      <c r="D999" s="53" t="s">
        <v>38</v>
      </c>
      <c r="E999" s="53">
        <v>1</v>
      </c>
      <c r="F999" s="101">
        <f t="shared" si="234"/>
        <v>1425</v>
      </c>
      <c r="G999" s="101">
        <f t="shared" si="235"/>
        <v>1425</v>
      </c>
      <c r="H999" s="3" t="s">
        <v>1193</v>
      </c>
      <c r="I999" s="110" t="str">
        <f t="shared" si="231"/>
        <v>IFI23_1</v>
      </c>
    </row>
    <row r="1000" spans="1:9" ht="38.25" x14ac:dyDescent="0.25">
      <c r="A1000" s="112" t="s">
        <v>1212</v>
      </c>
      <c r="B1000" s="90" t="str">
        <f>A1000&amp;".Are any of your savings and loans groups linked to a mobile money group wallet or do they have a bank account? "&amp;"Linked to a mobile money group wallet/has a mobile money wallet"</f>
        <v>IFI23.2.Are any of your savings and loans groups linked to a mobile money group wallet or do they have a bank account? Linked to a mobile money group wallet/has a mobile money wallet</v>
      </c>
      <c r="C1000" s="90" t="s">
        <v>864</v>
      </c>
      <c r="D1000" s="53" t="s">
        <v>38</v>
      </c>
      <c r="E1000" s="53">
        <v>1</v>
      </c>
      <c r="F1000" s="101">
        <f t="shared" si="234"/>
        <v>1426</v>
      </c>
      <c r="G1000" s="101">
        <f t="shared" si="235"/>
        <v>1426</v>
      </c>
      <c r="H1000" s="3" t="s">
        <v>1193</v>
      </c>
      <c r="I1000" s="110" t="str">
        <f t="shared" si="231"/>
        <v>IFI23_2</v>
      </c>
    </row>
    <row r="1001" spans="1:9" ht="25.5" x14ac:dyDescent="0.25">
      <c r="A1001" s="112" t="s">
        <v>1213</v>
      </c>
      <c r="B1001" s="90" t="s">
        <v>1214</v>
      </c>
      <c r="C1001" s="95" t="s">
        <v>1215</v>
      </c>
      <c r="D1001" s="53" t="s">
        <v>38</v>
      </c>
      <c r="E1001" s="53">
        <v>2</v>
      </c>
      <c r="F1001" s="101">
        <f t="shared" si="234"/>
        <v>1427</v>
      </c>
      <c r="G1001" s="101">
        <f t="shared" si="235"/>
        <v>1428</v>
      </c>
      <c r="H1001" s="3" t="s">
        <v>1216</v>
      </c>
      <c r="I1001" s="110" t="str">
        <f>A1001</f>
        <v>IFI24</v>
      </c>
    </row>
    <row r="1002" spans="1:9" x14ac:dyDescent="0.25">
      <c r="A1002" s="121" t="s">
        <v>1217</v>
      </c>
      <c r="B1002" s="122" t="s">
        <v>451</v>
      </c>
      <c r="C1002" s="122" t="s">
        <v>451</v>
      </c>
      <c r="D1002" s="122" t="s">
        <v>451</v>
      </c>
      <c r="E1002" s="122" t="s">
        <v>451</v>
      </c>
      <c r="F1002" s="122" t="s">
        <v>451</v>
      </c>
      <c r="G1002" s="122" t="s">
        <v>451</v>
      </c>
      <c r="H1002" s="122" t="s">
        <v>451</v>
      </c>
      <c r="I1002" s="123" t="s">
        <v>451</v>
      </c>
    </row>
    <row r="1003" spans="1:9" x14ac:dyDescent="0.25">
      <c r="A1003" s="121" t="s">
        <v>1218</v>
      </c>
      <c r="B1003" s="122" t="s">
        <v>451</v>
      </c>
      <c r="C1003" s="122" t="s">
        <v>451</v>
      </c>
      <c r="D1003" s="122" t="s">
        <v>451</v>
      </c>
      <c r="E1003" s="122" t="s">
        <v>451</v>
      </c>
      <c r="F1003" s="122" t="s">
        <v>451</v>
      </c>
      <c r="G1003" s="122" t="s">
        <v>451</v>
      </c>
      <c r="H1003" s="122" t="s">
        <v>451</v>
      </c>
      <c r="I1003" s="123" t="s">
        <v>451</v>
      </c>
    </row>
    <row r="1004" spans="1:9" x14ac:dyDescent="0.25">
      <c r="A1004" s="51" t="s">
        <v>4</v>
      </c>
      <c r="B1004" s="52" t="s">
        <v>5</v>
      </c>
      <c r="C1004" s="52" t="s">
        <v>6</v>
      </c>
      <c r="D1004" s="51" t="s">
        <v>7</v>
      </c>
      <c r="E1004" s="52" t="s">
        <v>8</v>
      </c>
      <c r="F1004" s="52" t="s">
        <v>9</v>
      </c>
      <c r="G1004" s="52" t="s">
        <v>10</v>
      </c>
      <c r="H1004" s="52" t="s">
        <v>11</v>
      </c>
      <c r="I1004" s="51" t="s">
        <v>12</v>
      </c>
    </row>
    <row r="1005" spans="1:9" ht="51" x14ac:dyDescent="0.25">
      <c r="A1005" s="101" t="s">
        <v>1219</v>
      </c>
      <c r="B1005" s="96" t="str">
        <f>A1005&amp;".How often do you make a plan for how to spend your income, whether it is earned through a job, received from the government or from other people?"</f>
        <v>FL1.How often do you make a plan for how to spend your income, whether it is earned through a job, received from the government or from other people?</v>
      </c>
      <c r="C1005" s="96" t="s">
        <v>1220</v>
      </c>
      <c r="D1005" s="54" t="s">
        <v>38</v>
      </c>
      <c r="E1005" s="53">
        <v>1</v>
      </c>
      <c r="F1005" s="101">
        <f>G1001+1</f>
        <v>1429</v>
      </c>
      <c r="G1005" s="101">
        <f>G1001+E1005</f>
        <v>1429</v>
      </c>
      <c r="H1005" s="10" t="s">
        <v>17</v>
      </c>
      <c r="I1005" s="110" t="s">
        <v>1219</v>
      </c>
    </row>
    <row r="1006" spans="1:9" ht="51" x14ac:dyDescent="0.25">
      <c r="A1006" s="101" t="s">
        <v>1221</v>
      </c>
      <c r="B1006" s="10" t="str">
        <f>A1006&amp; ".When you make a plan, how often do you keep it?"</f>
        <v>FL2.When you make a plan, how often do you keep it?</v>
      </c>
      <c r="C1006" s="96" t="s">
        <v>1220</v>
      </c>
      <c r="D1006" s="54" t="s">
        <v>38</v>
      </c>
      <c r="E1006" s="53">
        <v>1</v>
      </c>
      <c r="F1006" s="101">
        <f>G1005+1</f>
        <v>1430</v>
      </c>
      <c r="G1006" s="101">
        <f>G1005+E1006</f>
        <v>1430</v>
      </c>
      <c r="H1006" s="10" t="s">
        <v>1222</v>
      </c>
      <c r="I1006" s="110" t="s">
        <v>1221</v>
      </c>
    </row>
    <row r="1007" spans="1:9" ht="114.75" x14ac:dyDescent="0.25">
      <c r="A1007" s="101" t="s">
        <v>1223</v>
      </c>
      <c r="B1007" s="96" t="str">
        <f>A1007&amp;".When you plan your household’s expenses, for what period do you usually plan?"</f>
        <v>FL3.When you plan your household’s expenses, for what period do you usually plan?</v>
      </c>
      <c r="C1007" s="96" t="s">
        <v>1224</v>
      </c>
      <c r="D1007" s="54" t="s">
        <v>38</v>
      </c>
      <c r="E1007" s="53">
        <v>2</v>
      </c>
      <c r="F1007" s="101">
        <f>G1006+1</f>
        <v>1431</v>
      </c>
      <c r="G1007" s="101">
        <f>G1006+E1007</f>
        <v>1432</v>
      </c>
      <c r="H1007" s="10" t="s">
        <v>1222</v>
      </c>
      <c r="I1007" s="110" t="s">
        <v>1223</v>
      </c>
    </row>
    <row r="1008" spans="1:9" x14ac:dyDescent="0.25">
      <c r="A1008" s="101" t="s">
        <v>1225</v>
      </c>
      <c r="B1008" s="10" t="str">
        <f>A1008&amp;".What or who do you depend on the most for financial advice?"</f>
        <v>FL4.What or who do you depend on the most for financial advice?</v>
      </c>
      <c r="C1008" s="98" t="s">
        <v>1226</v>
      </c>
      <c r="D1008" s="54" t="s">
        <v>38</v>
      </c>
      <c r="E1008" s="53">
        <v>2</v>
      </c>
      <c r="F1008" s="101">
        <f t="shared" ref="F1008:F1030" si="237">G1007+1</f>
        <v>1433</v>
      </c>
      <c r="G1008" s="101">
        <f t="shared" ref="G1008:G1030" si="238">G1007+E1008</f>
        <v>1434</v>
      </c>
      <c r="H1008" s="10" t="s">
        <v>17</v>
      </c>
      <c r="I1008" s="110" t="s">
        <v>1225</v>
      </c>
    </row>
    <row r="1009" spans="1:9" ht="25.5" x14ac:dyDescent="0.25">
      <c r="A1009" s="101" t="s">
        <v>1227</v>
      </c>
      <c r="B1009" s="96" t="str">
        <f>A1009&amp;".Tell me, does the following apply to you?" &amp;" I spend less money than I make each month"</f>
        <v>FL6.1.Tell me, does the following apply to you? I spend less money than I make each month</v>
      </c>
      <c r="C1009" s="96" t="s">
        <v>142</v>
      </c>
      <c r="D1009" s="54" t="s">
        <v>38</v>
      </c>
      <c r="E1009" s="53">
        <v>1</v>
      </c>
      <c r="F1009" s="101">
        <f t="shared" si="237"/>
        <v>1435</v>
      </c>
      <c r="G1009" s="101">
        <f t="shared" si="238"/>
        <v>1435</v>
      </c>
      <c r="H1009" s="10" t="s">
        <v>17</v>
      </c>
      <c r="I1009" s="110" t="str">
        <f t="shared" ref="I1009:I1025" si="239">LEFT(A1009,3) &amp; "_" &amp;RIGHT(A1009,1)</f>
        <v>FL6_1</v>
      </c>
    </row>
    <row r="1010" spans="1:9" ht="25.5" x14ac:dyDescent="0.25">
      <c r="A1010" s="101" t="s">
        <v>1228</v>
      </c>
      <c r="B1010" s="96" t="str">
        <f>A1010&amp;".Tell me, does the following apply to you?" &amp;" I have an emergency fund to cover unplanned expenses"</f>
        <v>FL6.2.Tell me, does the following apply to you? I have an emergency fund to cover unplanned expenses</v>
      </c>
      <c r="C1010" s="96" t="s">
        <v>142</v>
      </c>
      <c r="D1010" s="54" t="s">
        <v>38</v>
      </c>
      <c r="E1010" s="53">
        <v>1</v>
      </c>
      <c r="F1010" s="101">
        <f t="shared" si="237"/>
        <v>1436</v>
      </c>
      <c r="G1010" s="101">
        <f t="shared" si="238"/>
        <v>1436</v>
      </c>
      <c r="H1010" s="10" t="s">
        <v>17</v>
      </c>
      <c r="I1010" s="110" t="str">
        <f t="shared" si="239"/>
        <v>FL6_2</v>
      </c>
    </row>
    <row r="1011" spans="1:9" ht="25.5" x14ac:dyDescent="0.25">
      <c r="A1011" s="101" t="s">
        <v>1229</v>
      </c>
      <c r="B1011" s="91" t="str">
        <f>A1011&amp;".Tell me, does the following apply to you?" &amp;" I pay my bills on time"</f>
        <v>FL6.3.Tell me, does the following apply to you? I pay my bills on time</v>
      </c>
      <c r="C1011" s="96" t="s">
        <v>142</v>
      </c>
      <c r="D1011" s="54" t="s">
        <v>38</v>
      </c>
      <c r="E1011" s="53">
        <v>1</v>
      </c>
      <c r="F1011" s="101">
        <f t="shared" si="237"/>
        <v>1437</v>
      </c>
      <c r="G1011" s="101">
        <f t="shared" si="238"/>
        <v>1437</v>
      </c>
      <c r="H1011" s="10" t="s">
        <v>17</v>
      </c>
      <c r="I1011" s="110" t="str">
        <f t="shared" si="239"/>
        <v>FL6_3</v>
      </c>
    </row>
    <row r="1012" spans="1:9" ht="25.5" x14ac:dyDescent="0.25">
      <c r="A1012" s="101" t="s">
        <v>1230</v>
      </c>
      <c r="B1012" s="91" t="str">
        <f>A1012&amp;".Tell me, does the following apply to you?" &amp;" My savings is larger than my debt"</f>
        <v>FL6.4.Tell me, does the following apply to you? My savings is larger than my debt</v>
      </c>
      <c r="C1012" s="96" t="s">
        <v>142</v>
      </c>
      <c r="D1012" s="54" t="s">
        <v>38</v>
      </c>
      <c r="E1012" s="53">
        <v>1</v>
      </c>
      <c r="F1012" s="101">
        <f t="shared" si="237"/>
        <v>1438</v>
      </c>
      <c r="G1012" s="101">
        <f t="shared" si="238"/>
        <v>1438</v>
      </c>
      <c r="H1012" s="10" t="s">
        <v>17</v>
      </c>
      <c r="I1012" s="110" t="str">
        <f t="shared" si="239"/>
        <v>FL6_4</v>
      </c>
    </row>
    <row r="1013" spans="1:9" ht="38.25" x14ac:dyDescent="0.25">
      <c r="A1013" s="101" t="s">
        <v>1231</v>
      </c>
      <c r="B1013" s="91" t="str">
        <f>A1013&amp;".Does your family have a plan to manage unexpected expenses, which might result from the following? "&amp;Other!AE2</f>
        <v>FL7.1.Does your family have a plan to manage unexpected expenses, which might result from the following? Loss of a house due to fire, flood or another natural disaster</v>
      </c>
      <c r="C1013" s="96" t="s">
        <v>442</v>
      </c>
      <c r="D1013" s="54" t="s">
        <v>38</v>
      </c>
      <c r="E1013" s="53">
        <v>2</v>
      </c>
      <c r="F1013" s="101">
        <f t="shared" si="237"/>
        <v>1439</v>
      </c>
      <c r="G1013" s="101">
        <f t="shared" si="238"/>
        <v>1440</v>
      </c>
      <c r="H1013" s="10" t="s">
        <v>17</v>
      </c>
      <c r="I1013" s="110" t="str">
        <f t="shared" si="239"/>
        <v>FL7_1</v>
      </c>
    </row>
    <row r="1014" spans="1:9" ht="38.25" x14ac:dyDescent="0.25">
      <c r="A1014" s="101" t="s">
        <v>1232</v>
      </c>
      <c r="B1014" s="91" t="str">
        <f>A1014&amp;".Does your family have a plan to manage unexpected expenses, which might result from the following? "&amp;Other!AE3</f>
        <v>FL7.2.Does your family have a plan to manage unexpected expenses, which might result from the following? Major medical emergency, including illness, injury and childbirth</v>
      </c>
      <c r="C1014" s="96" t="s">
        <v>442</v>
      </c>
      <c r="D1014" s="54" t="s">
        <v>38</v>
      </c>
      <c r="E1014" s="53">
        <v>2</v>
      </c>
      <c r="F1014" s="101">
        <f t="shared" si="237"/>
        <v>1441</v>
      </c>
      <c r="G1014" s="101">
        <f t="shared" si="238"/>
        <v>1442</v>
      </c>
      <c r="H1014" s="10" t="s">
        <v>17</v>
      </c>
      <c r="I1014" s="110" t="str">
        <f t="shared" si="239"/>
        <v>FL7_2</v>
      </c>
    </row>
    <row r="1015" spans="1:9" ht="38.25" x14ac:dyDescent="0.25">
      <c r="A1015" s="110" t="s">
        <v>1233</v>
      </c>
      <c r="B1015" s="91" t="str">
        <f>A1015&amp;".Does your family have a plan to manage unexpected expenses, which might result from the following? "&amp;Other!AE4</f>
        <v>FL7.3.Does your family have a plan to manage unexpected expenses, which might result from the following? Bankruptcy/loss of a job or a business</v>
      </c>
      <c r="C1015" s="96" t="s">
        <v>442</v>
      </c>
      <c r="D1015" s="54" t="s">
        <v>38</v>
      </c>
      <c r="E1015" s="53">
        <v>2</v>
      </c>
      <c r="F1015" s="101">
        <f t="shared" si="237"/>
        <v>1443</v>
      </c>
      <c r="G1015" s="101">
        <f t="shared" si="238"/>
        <v>1444</v>
      </c>
      <c r="H1015" s="10" t="s">
        <v>17</v>
      </c>
      <c r="I1015" s="110" t="str">
        <f t="shared" si="239"/>
        <v>FL7_3</v>
      </c>
    </row>
    <row r="1016" spans="1:9" ht="38.25" x14ac:dyDescent="0.25">
      <c r="A1016" s="110" t="s">
        <v>1234</v>
      </c>
      <c r="B1016" s="91" t="str">
        <f>A1016&amp;".Does your family have a plan to manage unexpected expenses, which might result from the following? "&amp;Other!AE5</f>
        <v>FL7.4.Does your family have a plan to manage unexpected expenses, which might result from the following? Loss of harvest or livestock due to weather conditions or a disease</v>
      </c>
      <c r="C1016" s="96" t="s">
        <v>442</v>
      </c>
      <c r="D1016" s="54" t="s">
        <v>38</v>
      </c>
      <c r="E1016" s="53">
        <v>2</v>
      </c>
      <c r="F1016" s="101">
        <f t="shared" si="237"/>
        <v>1445</v>
      </c>
      <c r="G1016" s="101">
        <f t="shared" si="238"/>
        <v>1446</v>
      </c>
      <c r="H1016" s="10" t="s">
        <v>17</v>
      </c>
      <c r="I1016" s="110" t="str">
        <f t="shared" si="239"/>
        <v>FL7_4</v>
      </c>
    </row>
    <row r="1017" spans="1:9" ht="38.25" x14ac:dyDescent="0.25">
      <c r="A1017" s="110" t="s">
        <v>1235</v>
      </c>
      <c r="B1017" s="91" t="str">
        <f>A1017&amp;".Does your family have a plan to manage unexpected expenses, which might result from the following? "&amp;Other!AE6</f>
        <v>FL7.5.Does your family have a plan to manage unexpected expenses, which might result from the following? Loss of property due to theft or burglary</v>
      </c>
      <c r="C1017" s="96" t="s">
        <v>442</v>
      </c>
      <c r="D1017" s="54" t="s">
        <v>38</v>
      </c>
      <c r="E1017" s="53">
        <v>2</v>
      </c>
      <c r="F1017" s="101">
        <f t="shared" si="237"/>
        <v>1447</v>
      </c>
      <c r="G1017" s="101">
        <f t="shared" si="238"/>
        <v>1448</v>
      </c>
      <c r="H1017" s="10" t="s">
        <v>17</v>
      </c>
      <c r="I1017" s="110" t="str">
        <f t="shared" si="239"/>
        <v>FL7_5</v>
      </c>
    </row>
    <row r="1018" spans="1:9" ht="38.25" x14ac:dyDescent="0.25">
      <c r="A1018" s="110" t="s">
        <v>1236</v>
      </c>
      <c r="B1018" s="91" t="str">
        <f>A1018&amp;".Does your family have a plan to manage unexpected expenses, which might result from the following? "&amp;Other!AE7</f>
        <v>FL7.6.Does your family have a plan to manage unexpected expenses, which might result from the following? Death in the family, including death of the main income earner</v>
      </c>
      <c r="C1018" s="96" t="s">
        <v>442</v>
      </c>
      <c r="D1018" s="54" t="s">
        <v>38</v>
      </c>
      <c r="E1018" s="53">
        <v>2</v>
      </c>
      <c r="F1018" s="101">
        <f t="shared" si="237"/>
        <v>1449</v>
      </c>
      <c r="G1018" s="101">
        <f t="shared" si="238"/>
        <v>1450</v>
      </c>
      <c r="H1018" s="10" t="s">
        <v>17</v>
      </c>
      <c r="I1018" s="110" t="str">
        <f t="shared" si="239"/>
        <v>FL7_6</v>
      </c>
    </row>
    <row r="1019" spans="1:9" ht="63.75" x14ac:dyDescent="0.25">
      <c r="A1019" s="110" t="s">
        <v>1237</v>
      </c>
      <c r="B1019" s="91" t="str">
        <f>A1019&amp;".How much do you agree with the following statements? "&amp;Other!AF2</f>
        <v>FL8.1.How much do you agree with the following statements? I am highly satisfied with my present financial condition</v>
      </c>
      <c r="C1019" s="96" t="s">
        <v>1238</v>
      </c>
      <c r="D1019" s="54" t="s">
        <v>38</v>
      </c>
      <c r="E1019" s="53">
        <v>1</v>
      </c>
      <c r="F1019" s="101">
        <f t="shared" si="237"/>
        <v>1451</v>
      </c>
      <c r="G1019" s="101">
        <f t="shared" si="238"/>
        <v>1451</v>
      </c>
      <c r="H1019" s="10" t="s">
        <v>17</v>
      </c>
      <c r="I1019" s="110" t="str">
        <f t="shared" si="239"/>
        <v>FL8_1</v>
      </c>
    </row>
    <row r="1020" spans="1:9" ht="63.75" x14ac:dyDescent="0.25">
      <c r="A1020" s="110" t="s">
        <v>1239</v>
      </c>
      <c r="B1020" s="96" t="str">
        <f>A1020&amp;".How much do you agree with the following statements? "&amp;Other!AF3</f>
        <v>FL8.2.How much do you agree with the following statements? I have too much debt right now</v>
      </c>
      <c r="C1020" s="96" t="s">
        <v>1238</v>
      </c>
      <c r="D1020" s="54" t="s">
        <v>38</v>
      </c>
      <c r="E1020" s="53">
        <v>1</v>
      </c>
      <c r="F1020" s="101">
        <f t="shared" si="237"/>
        <v>1452</v>
      </c>
      <c r="G1020" s="101">
        <f t="shared" si="238"/>
        <v>1452</v>
      </c>
      <c r="H1020" s="10" t="s">
        <v>17</v>
      </c>
      <c r="I1020" s="110" t="str">
        <f t="shared" si="239"/>
        <v>FL8_2</v>
      </c>
    </row>
    <row r="1021" spans="1:9" ht="63.75" x14ac:dyDescent="0.25">
      <c r="A1021" s="110" t="s">
        <v>1240</v>
      </c>
      <c r="B1021" s="96" t="str">
        <f>A1021&amp;".How much do you agree with the following statements? "&amp;Other!AF4</f>
        <v>FL8.3.How much do you agree with the following statements? Friends and family rely heavily on me to help with their finances</v>
      </c>
      <c r="C1021" s="96" t="s">
        <v>1238</v>
      </c>
      <c r="D1021" s="54" t="s">
        <v>38</v>
      </c>
      <c r="E1021" s="53">
        <v>1</v>
      </c>
      <c r="F1021" s="101">
        <f t="shared" si="237"/>
        <v>1453</v>
      </c>
      <c r="G1021" s="101">
        <f t="shared" si="238"/>
        <v>1453</v>
      </c>
      <c r="H1021" s="10" t="s">
        <v>17</v>
      </c>
      <c r="I1021" s="110" t="str">
        <f t="shared" si="239"/>
        <v>FL8_3</v>
      </c>
    </row>
    <row r="1022" spans="1:9" ht="63.75" x14ac:dyDescent="0.25">
      <c r="A1022" s="110" t="s">
        <v>1241</v>
      </c>
      <c r="B1022" s="96" t="str">
        <f>A1022&amp;".How much do you agree with the following statements? "&amp;Other!AF5</f>
        <v>FL8.4.How much do you agree with the following statements? I am comfortable having some debt if it allows me to accomplish my goals</v>
      </c>
      <c r="C1022" s="96" t="s">
        <v>1238</v>
      </c>
      <c r="D1022" s="54" t="s">
        <v>38</v>
      </c>
      <c r="E1022" s="53">
        <v>1</v>
      </c>
      <c r="F1022" s="101">
        <f t="shared" si="237"/>
        <v>1454</v>
      </c>
      <c r="G1022" s="101">
        <f t="shared" si="238"/>
        <v>1454</v>
      </c>
      <c r="H1022" s="10" t="s">
        <v>17</v>
      </c>
      <c r="I1022" s="110" t="str">
        <f t="shared" si="239"/>
        <v>FL8_4</v>
      </c>
    </row>
    <row r="1023" spans="1:9" ht="63.75" x14ac:dyDescent="0.25">
      <c r="A1023" s="110" t="s">
        <v>1242</v>
      </c>
      <c r="B1023" s="96" t="str">
        <f>A1023&amp;".How much do you agree with the following statements? "&amp;Other!AF6</f>
        <v>FL8.5.How much do you agree with the following statements? I have the skills and knowledge to manage my finances well</v>
      </c>
      <c r="C1023" s="96" t="s">
        <v>1238</v>
      </c>
      <c r="D1023" s="54" t="s">
        <v>38</v>
      </c>
      <c r="E1023" s="53">
        <v>1</v>
      </c>
      <c r="F1023" s="101">
        <f t="shared" si="237"/>
        <v>1455</v>
      </c>
      <c r="G1023" s="101">
        <f t="shared" si="238"/>
        <v>1455</v>
      </c>
      <c r="H1023" s="10" t="s">
        <v>17</v>
      </c>
      <c r="I1023" s="110" t="str">
        <f t="shared" si="239"/>
        <v>FL8_5</v>
      </c>
    </row>
    <row r="1024" spans="1:9" ht="72" customHeight="1" x14ac:dyDescent="0.25">
      <c r="A1024" s="110" t="s">
        <v>1243</v>
      </c>
      <c r="B1024" s="96" t="str">
        <f>A1024&amp;".How much do you agree with the following statements? "&amp;Other!AF7</f>
        <v xml:space="preserve">FL8.6.How much do you agree with the following statements? When I have some money it’s better to use or invest it right away. Just keeping it sitting there is wasteful  </v>
      </c>
      <c r="C1024" s="96" t="s">
        <v>1238</v>
      </c>
      <c r="D1024" s="54" t="s">
        <v>38</v>
      </c>
      <c r="E1024" s="53">
        <v>1</v>
      </c>
      <c r="F1024" s="101">
        <f t="shared" si="237"/>
        <v>1456</v>
      </c>
      <c r="G1024" s="101">
        <f t="shared" si="238"/>
        <v>1456</v>
      </c>
      <c r="H1024" s="10" t="s">
        <v>17</v>
      </c>
      <c r="I1024" s="110" t="str">
        <f t="shared" si="239"/>
        <v>FL8_6</v>
      </c>
    </row>
    <row r="1025" spans="1:9" ht="69.75" customHeight="1" x14ac:dyDescent="0.25">
      <c r="A1025" s="110" t="s">
        <v>1244</v>
      </c>
      <c r="B1025" s="96" t="str">
        <f>A1025&amp;".How much do you agree with the following statements? "&amp;Other!AF8</f>
        <v>FL8.7.How much do you agree with the following statements? I buy from several different shopkeepers so that they know me and will give me credit when I need it</v>
      </c>
      <c r="C1025" s="96" t="s">
        <v>1238</v>
      </c>
      <c r="D1025" s="54" t="s">
        <v>38</v>
      </c>
      <c r="E1025" s="53">
        <v>1</v>
      </c>
      <c r="F1025" s="101">
        <f t="shared" si="237"/>
        <v>1457</v>
      </c>
      <c r="G1025" s="101">
        <f t="shared" si="238"/>
        <v>1457</v>
      </c>
      <c r="H1025" s="10" t="s">
        <v>17</v>
      </c>
      <c r="I1025" s="110" t="str">
        <f t="shared" si="239"/>
        <v>FL8_7</v>
      </c>
    </row>
    <row r="1026" spans="1:9" ht="38.25" x14ac:dyDescent="0.25">
      <c r="A1026" s="110" t="s">
        <v>1245</v>
      </c>
      <c r="B1026" s="90" t="str">
        <f>A1026&amp;".Imagine that this month, after paying for food, cooking fuel, school fees, rent, and airtime, you found yourself with some extra money. Please, select 3 options from the list that you are most likely to spend it on. Option 1"</f>
        <v>FL9A.Imagine that this month, after paying for food, cooking fuel, school fees, rent, and airtime, you found yourself with some extra money. Please, select 3 options from the list that you are most likely to spend it on. Option 1</v>
      </c>
      <c r="C1026" s="98" t="s">
        <v>1246</v>
      </c>
      <c r="D1026" s="54" t="s">
        <v>38</v>
      </c>
      <c r="E1026" s="53">
        <v>2</v>
      </c>
      <c r="F1026" s="101">
        <f t="shared" si="237"/>
        <v>1458</v>
      </c>
      <c r="G1026" s="101">
        <f t="shared" si="238"/>
        <v>1459</v>
      </c>
      <c r="H1026" s="10" t="s">
        <v>17</v>
      </c>
      <c r="I1026" s="110" t="str">
        <f>A1026</f>
        <v>FL9A</v>
      </c>
    </row>
    <row r="1027" spans="1:9" ht="38.25" x14ac:dyDescent="0.25">
      <c r="A1027" s="110" t="s">
        <v>1247</v>
      </c>
      <c r="B1027" s="90" t="str">
        <f>A1027&amp;".Imagine that this month, after paying for food, cooking fuel, school fees, rent, and airtime, you found yourself with some extra money. Please, select 3 options from the list that you are most likely to spend it on. Option 2"</f>
        <v>FL9B.Imagine that this month, after paying for food, cooking fuel, school fees, rent, and airtime, you found yourself with some extra money. Please, select 3 options from the list that you are most likely to spend it on. Option 2</v>
      </c>
      <c r="C1027" s="98" t="s">
        <v>1246</v>
      </c>
      <c r="D1027" s="54" t="s">
        <v>38</v>
      </c>
      <c r="E1027" s="53">
        <v>2</v>
      </c>
      <c r="F1027" s="101">
        <f t="shared" si="237"/>
        <v>1460</v>
      </c>
      <c r="G1027" s="101">
        <f t="shared" si="238"/>
        <v>1461</v>
      </c>
      <c r="H1027" s="10" t="s">
        <v>2400</v>
      </c>
      <c r="I1027" s="110" t="str">
        <f>A1027</f>
        <v>FL9B</v>
      </c>
    </row>
    <row r="1028" spans="1:9" ht="38.25" x14ac:dyDescent="0.25">
      <c r="A1028" s="110" t="s">
        <v>1248</v>
      </c>
      <c r="B1028" s="90" t="str">
        <f>A1028&amp;".Imagine that this month, after paying for food, cooking fuel, school fees, rent, and airtime, you found yourself with some extra money. Please, select 3 options from the list that you are most likely to spend it on. Option 3"</f>
        <v>FL9C.Imagine that this month, after paying for food, cooking fuel, school fees, rent, and airtime, you found yourself with some extra money. Please, select 3 options from the list that you are most likely to spend it on. Option 3</v>
      </c>
      <c r="C1028" s="98" t="s">
        <v>1246</v>
      </c>
      <c r="D1028" s="54" t="s">
        <v>38</v>
      </c>
      <c r="E1028" s="53">
        <v>2</v>
      </c>
      <c r="F1028" s="101">
        <f t="shared" si="237"/>
        <v>1462</v>
      </c>
      <c r="G1028" s="101">
        <f t="shared" si="238"/>
        <v>1463</v>
      </c>
      <c r="H1028" s="10" t="s">
        <v>2403</v>
      </c>
      <c r="I1028" s="110" t="str">
        <f>A1028</f>
        <v>FL9C</v>
      </c>
    </row>
    <row r="1029" spans="1:9" x14ac:dyDescent="0.2">
      <c r="A1029" s="110" t="s">
        <v>1249</v>
      </c>
      <c r="B1029" s="96" t="str">
        <f>A1029&amp;".What’s the most important financial goal for you right now?"</f>
        <v>FL10.What’s the most important financial goal for you right now?</v>
      </c>
      <c r="C1029" s="60" t="s">
        <v>1250</v>
      </c>
      <c r="D1029" s="54" t="s">
        <v>38</v>
      </c>
      <c r="E1029" s="53">
        <v>2</v>
      </c>
      <c r="F1029" s="101">
        <f t="shared" si="237"/>
        <v>1464</v>
      </c>
      <c r="G1029" s="101">
        <f t="shared" si="238"/>
        <v>1465</v>
      </c>
      <c r="H1029" s="10" t="s">
        <v>17</v>
      </c>
      <c r="I1029" s="110" t="str">
        <f t="shared" ref="I1029:I1036" si="240">LEFT(A1029,4)</f>
        <v>FL10</v>
      </c>
    </row>
    <row r="1030" spans="1:9" ht="63.75" x14ac:dyDescent="0.25">
      <c r="A1030" s="110" t="s">
        <v>1251</v>
      </c>
      <c r="B1030" s="96" t="str">
        <f>A1030&amp;".How likely is it that you could get together sufficient funds from your friends and family for a medical emergency if it was too much for you to manage alone?"</f>
        <v>FL11.How likely is it that you could get together sufficient funds from your friends and family for a medical emergency if it was too much for you to manage alone?</v>
      </c>
      <c r="C1030" s="96" t="s">
        <v>1252</v>
      </c>
      <c r="D1030" s="54" t="s">
        <v>38</v>
      </c>
      <c r="E1030" s="53">
        <v>2</v>
      </c>
      <c r="F1030" s="101">
        <f t="shared" si="237"/>
        <v>1466</v>
      </c>
      <c r="G1030" s="101">
        <f t="shared" si="238"/>
        <v>1467</v>
      </c>
      <c r="H1030" s="10" t="s">
        <v>17</v>
      </c>
      <c r="I1030" s="110" t="str">
        <f t="shared" si="240"/>
        <v>FL11</v>
      </c>
    </row>
    <row r="1031" spans="1:9" x14ac:dyDescent="0.25">
      <c r="A1031" s="121" t="s">
        <v>1253</v>
      </c>
      <c r="B1031" s="122" t="s">
        <v>379</v>
      </c>
      <c r="C1031" s="122" t="s">
        <v>379</v>
      </c>
      <c r="D1031" s="122" t="s">
        <v>379</v>
      </c>
      <c r="E1031" s="122" t="s">
        <v>379</v>
      </c>
      <c r="F1031" s="122" t="s">
        <v>379</v>
      </c>
      <c r="G1031" s="122" t="s">
        <v>379</v>
      </c>
      <c r="H1031" s="122" t="s">
        <v>379</v>
      </c>
      <c r="I1031" s="123" t="s">
        <v>379</v>
      </c>
    </row>
    <row r="1032" spans="1:9" x14ac:dyDescent="0.25">
      <c r="A1032" s="51" t="s">
        <v>4</v>
      </c>
      <c r="B1032" s="52" t="s">
        <v>5</v>
      </c>
      <c r="C1032" s="52" t="s">
        <v>6</v>
      </c>
      <c r="D1032" s="51" t="s">
        <v>7</v>
      </c>
      <c r="E1032" s="52" t="s">
        <v>8</v>
      </c>
      <c r="F1032" s="52" t="s">
        <v>9</v>
      </c>
      <c r="G1032" s="52" t="s">
        <v>10</v>
      </c>
      <c r="H1032" s="52" t="s">
        <v>11</v>
      </c>
      <c r="I1032" s="51" t="s">
        <v>12</v>
      </c>
    </row>
    <row r="1033" spans="1:9" ht="38.25" x14ac:dyDescent="0.25">
      <c r="A1033" s="110" t="s">
        <v>1254</v>
      </c>
      <c r="B1033" s="96" t="str">
        <f>A1033&amp;". Imagine you have 10,000 IDR. Somebody gave you 2,000 IDR. How much total money will you have?"</f>
        <v>FL12. Imagine you have 10,000 IDR. Somebody gave you 2,000 IDR. How much total money will you have?</v>
      </c>
      <c r="C1033" s="96" t="s">
        <v>1255</v>
      </c>
      <c r="D1033" s="97" t="s">
        <v>38</v>
      </c>
      <c r="E1033" s="94">
        <v>2</v>
      </c>
      <c r="F1033" s="101">
        <f>G1030+1</f>
        <v>1468</v>
      </c>
      <c r="G1033" s="101">
        <f>G1030+E1033</f>
        <v>1469</v>
      </c>
      <c r="H1033" s="10" t="s">
        <v>17</v>
      </c>
      <c r="I1033" s="110" t="str">
        <f t="shared" si="240"/>
        <v>FL12</v>
      </c>
    </row>
    <row r="1034" spans="1:9" ht="38.25" x14ac:dyDescent="0.25">
      <c r="A1034" s="110" t="s">
        <v>1256</v>
      </c>
      <c r="B1034" s="96" t="str">
        <f>A1034&amp;". Imagine you have 10,000 IDR and you have to divide it among 5 people. How much money will each person receive if you divide it equally?"</f>
        <v>FL13. Imagine you have 10,000 IDR and you have to divide it among 5 people. How much money will each person receive if you divide it equally?</v>
      </c>
      <c r="C1034" s="96" t="s">
        <v>1257</v>
      </c>
      <c r="D1034" s="110" t="s">
        <v>38</v>
      </c>
      <c r="E1034" s="101">
        <v>2</v>
      </c>
      <c r="F1034" s="101">
        <f t="shared" ref="F1034:F1039" si="241">G1033+1</f>
        <v>1470</v>
      </c>
      <c r="G1034" s="101">
        <f t="shared" ref="G1034:G1039" si="242">G1033+E1034</f>
        <v>1471</v>
      </c>
      <c r="H1034" s="10" t="s">
        <v>17</v>
      </c>
      <c r="I1034" s="110" t="str">
        <f t="shared" si="240"/>
        <v>FL13</v>
      </c>
    </row>
    <row r="1035" spans="1:9" ht="38.25" x14ac:dyDescent="0.25">
      <c r="A1035" s="110" t="s">
        <v>1258</v>
      </c>
      <c r="B1035" s="96" t="str">
        <f>A1035&amp;".Suppose you have some money. Is it safer to put your money into one business or investment, or to put your money into multiple businesses or investments? "</f>
        <v xml:space="preserve">FL14.Suppose you have some money. Is it safer to put your money into one business or investment, or to put your money into multiple businesses or investments? </v>
      </c>
      <c r="C1035" s="96" t="s">
        <v>1259</v>
      </c>
      <c r="D1035" s="110" t="s">
        <v>38</v>
      </c>
      <c r="E1035" s="101">
        <v>2</v>
      </c>
      <c r="F1035" s="101">
        <f t="shared" si="241"/>
        <v>1472</v>
      </c>
      <c r="G1035" s="101">
        <f t="shared" si="242"/>
        <v>1473</v>
      </c>
      <c r="H1035" s="10" t="s">
        <v>17</v>
      </c>
      <c r="I1035" s="110" t="str">
        <f t="shared" si="240"/>
        <v>FL14</v>
      </c>
    </row>
    <row r="1036" spans="1:9" ht="51" x14ac:dyDescent="0.25">
      <c r="A1036" s="110" t="s">
        <v>1260</v>
      </c>
      <c r="B1036" s="96" t="str">
        <f>A1036&amp;".Suppose over the next 10 years the prices of the things you buy double. If your income also doubles, will you be able to buy less than you can buy today, the same as you can buy today, or more than you can buy today?"</f>
        <v>FL15.Suppose over the next 10 years the prices of the things you buy double. If your income also doubles, will you be able to buy less than you can buy today, the same as you can buy today, or more than you can buy today?</v>
      </c>
      <c r="C1036" s="96" t="s">
        <v>1261</v>
      </c>
      <c r="D1036" s="110" t="s">
        <v>38</v>
      </c>
      <c r="E1036" s="101">
        <v>2</v>
      </c>
      <c r="F1036" s="101">
        <f t="shared" si="241"/>
        <v>1474</v>
      </c>
      <c r="G1036" s="101">
        <f t="shared" si="242"/>
        <v>1475</v>
      </c>
      <c r="H1036" s="10" t="s">
        <v>17</v>
      </c>
      <c r="I1036" s="110" t="str">
        <f t="shared" si="240"/>
        <v>FL15</v>
      </c>
    </row>
    <row r="1037" spans="1:9" ht="38.25" x14ac:dyDescent="0.25">
      <c r="A1037" s="110" t="s">
        <v>1262</v>
      </c>
      <c r="B1037" s="96" t="str">
        <f>A1037&amp;". Suppose you need to borrow Rp. 10,000. Which is the lower amount to pay back: 10,500 IDR or 10,000 IDR plus 3 percent? "</f>
        <v xml:space="preserve">FL16. Suppose you need to borrow Rp. 10,000. Which is the lower amount to pay back: 10,500 IDR or 10,000 IDR plus 3 percent? </v>
      </c>
      <c r="C1037" s="96" t="s">
        <v>1263</v>
      </c>
      <c r="D1037" s="110" t="s">
        <v>38</v>
      </c>
      <c r="E1037" s="101">
        <v>2</v>
      </c>
      <c r="F1037" s="101">
        <f t="shared" si="241"/>
        <v>1476</v>
      </c>
      <c r="G1037" s="101">
        <f t="shared" si="242"/>
        <v>1477</v>
      </c>
      <c r="H1037" s="10" t="s">
        <v>17</v>
      </c>
      <c r="I1037" s="110" t="str">
        <f>LEFT(A1037,4)</f>
        <v>FL16</v>
      </c>
    </row>
    <row r="1038" spans="1:9" ht="51" x14ac:dyDescent="0.25">
      <c r="A1038" s="110" t="s">
        <v>1264</v>
      </c>
      <c r="B1038" s="96" t="str">
        <f>A1038&amp;".Suppose you put money in the bank for two years and the bank agrees to add 15 percent per year to your account. Will the bank add more money to your account the second year than it did the first year, or will it add the same amount of money both years?"</f>
        <v>FL17.Suppose you put money in the bank for two years and the bank agrees to add 15 percent per year to your account. Will the bank add more money to your account the second year than it did the first year, or will it add the same amount of money both years?</v>
      </c>
      <c r="C1038" s="96" t="s">
        <v>1265</v>
      </c>
      <c r="D1038" s="110" t="s">
        <v>38</v>
      </c>
      <c r="E1038" s="101">
        <v>2</v>
      </c>
      <c r="F1038" s="101">
        <f t="shared" si="241"/>
        <v>1478</v>
      </c>
      <c r="G1038" s="101">
        <f t="shared" si="242"/>
        <v>1479</v>
      </c>
      <c r="H1038" s="10" t="s">
        <v>17</v>
      </c>
      <c r="I1038" s="110" t="str">
        <f>LEFT(A1038,4)</f>
        <v>FL17</v>
      </c>
    </row>
    <row r="1039" spans="1:9" ht="51" x14ac:dyDescent="0.25">
      <c r="A1039" s="110" t="s">
        <v>1266</v>
      </c>
      <c r="B1039" s="96" t="str">
        <f>A1039&amp;".Suppose you had Rp. 10,000. in a savings account and the bank adds 10 percent per year to the account. How much money would you have in the account after five years if you did not remove any money from the account?"</f>
        <v>FL18.Suppose you had Rp. 10,000. in a savings account and the bank adds 10 percent per year to the account. How much money would you have in the account after five years if you did not remove any money from the account?</v>
      </c>
      <c r="C1039" s="96" t="s">
        <v>1267</v>
      </c>
      <c r="D1039" s="110" t="s">
        <v>38</v>
      </c>
      <c r="E1039" s="101">
        <v>2</v>
      </c>
      <c r="F1039" s="101">
        <f t="shared" si="241"/>
        <v>1480</v>
      </c>
      <c r="G1039" s="101">
        <f t="shared" si="242"/>
        <v>1481</v>
      </c>
      <c r="H1039" s="10" t="s">
        <v>17</v>
      </c>
      <c r="I1039" s="110" t="str">
        <f>LEFT(A1039,4)</f>
        <v>FL18</v>
      </c>
    </row>
    <row r="1040" spans="1:9" x14ac:dyDescent="0.25">
      <c r="A1040" s="121" t="s">
        <v>1268</v>
      </c>
      <c r="B1040" s="122" t="s">
        <v>451</v>
      </c>
      <c r="C1040" s="122" t="s">
        <v>451</v>
      </c>
      <c r="D1040" s="122" t="s">
        <v>451</v>
      </c>
      <c r="E1040" s="122" t="s">
        <v>451</v>
      </c>
      <c r="F1040" s="122" t="s">
        <v>451</v>
      </c>
      <c r="G1040" s="122" t="s">
        <v>451</v>
      </c>
      <c r="H1040" s="122" t="s">
        <v>451</v>
      </c>
      <c r="I1040" s="123" t="s">
        <v>451</v>
      </c>
    </row>
    <row r="1041" spans="1:9" s="3" customFormat="1" x14ac:dyDescent="0.25">
      <c r="A1041" s="121" t="s">
        <v>1269</v>
      </c>
      <c r="B1041" s="122" t="s">
        <v>451</v>
      </c>
      <c r="C1041" s="122" t="s">
        <v>451</v>
      </c>
      <c r="D1041" s="122" t="s">
        <v>451</v>
      </c>
      <c r="E1041" s="122" t="s">
        <v>451</v>
      </c>
      <c r="F1041" s="122" t="s">
        <v>451</v>
      </c>
      <c r="G1041" s="122" t="s">
        <v>451</v>
      </c>
      <c r="H1041" s="122" t="s">
        <v>451</v>
      </c>
      <c r="I1041" s="123" t="s">
        <v>451</v>
      </c>
    </row>
    <row r="1042" spans="1:9" s="3" customFormat="1" x14ac:dyDescent="0.25">
      <c r="A1042" s="51" t="s">
        <v>4</v>
      </c>
      <c r="B1042" s="52" t="s">
        <v>5</v>
      </c>
      <c r="C1042" s="52" t="s">
        <v>6</v>
      </c>
      <c r="D1042" s="51" t="s">
        <v>7</v>
      </c>
      <c r="E1042" s="52" t="s">
        <v>8</v>
      </c>
      <c r="F1042" s="52" t="s">
        <v>9</v>
      </c>
      <c r="G1042" s="52" t="s">
        <v>10</v>
      </c>
      <c r="H1042" s="52" t="s">
        <v>11</v>
      </c>
      <c r="I1042" s="51" t="s">
        <v>12</v>
      </c>
    </row>
    <row r="1043" spans="1:9" s="3" customFormat="1" ht="25.5" x14ac:dyDescent="0.25">
      <c r="A1043" s="94" t="s">
        <v>1270</v>
      </c>
      <c r="B1043" s="96" t="str">
        <f>A1043&amp;".Do you agree or disagree with the following statements? "&amp;"Credit is the ability to borrow money and pay it back later"</f>
        <v>FB1.1.Do you agree or disagree with the following statements? Credit is the ability to borrow money and pay it back later</v>
      </c>
      <c r="C1043" s="96" t="s">
        <v>1271</v>
      </c>
      <c r="D1043" s="54" t="s">
        <v>38</v>
      </c>
      <c r="E1043" s="53">
        <v>1</v>
      </c>
      <c r="F1043" s="101">
        <f>G1039+1</f>
        <v>1482</v>
      </c>
      <c r="G1043" s="101">
        <f>G1039+E1043</f>
        <v>1482</v>
      </c>
      <c r="H1043" s="10" t="s">
        <v>17</v>
      </c>
      <c r="I1043" s="110" t="str">
        <f>LEFT(A1043,3) &amp; "_" &amp;RIGHT(A1043,1)</f>
        <v>FB1_1</v>
      </c>
    </row>
    <row r="1044" spans="1:9" s="3" customFormat="1" ht="25.5" x14ac:dyDescent="0.25">
      <c r="A1044" s="94" t="s">
        <v>1272</v>
      </c>
      <c r="B1044" s="96" t="str">
        <f>A1044&amp;".Do you agree or disagree with the following statements? "&amp;"Credit is the ability to obtain goods or services now and pay for them in the future"</f>
        <v>FB1.2.Do you agree or disagree with the following statements? Credit is the ability to obtain goods or services now and pay for them in the future</v>
      </c>
      <c r="C1044" s="96" t="s">
        <v>1271</v>
      </c>
      <c r="D1044" s="54" t="s">
        <v>38</v>
      </c>
      <c r="E1044" s="53">
        <v>1</v>
      </c>
      <c r="F1044" s="101">
        <f>G1043+1</f>
        <v>1483</v>
      </c>
      <c r="G1044" s="101">
        <f>G1043+E1044</f>
        <v>1483</v>
      </c>
      <c r="H1044" s="10" t="s">
        <v>17</v>
      </c>
      <c r="I1044" s="110" t="str">
        <f>LEFT(A1044,3) &amp; "_" &amp;RIGHT(A1044,1)</f>
        <v>FB1_2</v>
      </c>
    </row>
    <row r="1045" spans="1:9" s="3" customFormat="1" ht="25.5" x14ac:dyDescent="0.25">
      <c r="A1045" s="94" t="s">
        <v>1273</v>
      </c>
      <c r="B1045" s="96" t="str">
        <f>A1045&amp;".Do you agree or disagree with the following statements? "&amp;"Credit is the ability to borrow money to be paid back later at the price of the interest rate"</f>
        <v>FB1.3.Do you agree or disagree with the following statements? Credit is the ability to borrow money to be paid back later at the price of the interest rate</v>
      </c>
      <c r="C1045" s="96" t="s">
        <v>1271</v>
      </c>
      <c r="D1045" s="54" t="s">
        <v>38</v>
      </c>
      <c r="E1045" s="53">
        <v>1</v>
      </c>
      <c r="F1045" s="101">
        <f t="shared" ref="F1045:F1104" si="243">G1044+1</f>
        <v>1484</v>
      </c>
      <c r="G1045" s="101">
        <f t="shared" ref="G1045:G1104" si="244">G1044+E1045</f>
        <v>1484</v>
      </c>
      <c r="H1045" s="10" t="s">
        <v>17</v>
      </c>
      <c r="I1045" s="110" t="str">
        <f>LEFT(A1045,3) &amp; "_" &amp;RIGHT(A1045,1)</f>
        <v>FB1_3</v>
      </c>
    </row>
    <row r="1046" spans="1:9" s="3" customFormat="1" ht="76.5" x14ac:dyDescent="0.25">
      <c r="A1046" s="94" t="s">
        <v>1274</v>
      </c>
      <c r="B1046" s="96" t="s">
        <v>2415</v>
      </c>
      <c r="C1046" s="96" t="s">
        <v>1275</v>
      </c>
      <c r="D1046" s="54" t="s">
        <v>38</v>
      </c>
      <c r="E1046" s="53">
        <v>1</v>
      </c>
      <c r="F1046" s="101">
        <f t="shared" si="243"/>
        <v>1485</v>
      </c>
      <c r="G1046" s="101">
        <f t="shared" si="244"/>
        <v>1485</v>
      </c>
      <c r="H1046" s="10" t="s">
        <v>17</v>
      </c>
      <c r="I1046" s="94" t="str">
        <f>A1046</f>
        <v>FB2</v>
      </c>
    </row>
    <row r="1047" spans="1:9" s="3" customFormat="1" ht="25.5" x14ac:dyDescent="0.25">
      <c r="A1047" s="94" t="s">
        <v>1276</v>
      </c>
      <c r="B1047" s="96" t="s">
        <v>2416</v>
      </c>
      <c r="C1047" s="96" t="s">
        <v>142</v>
      </c>
      <c r="D1047" s="54" t="s">
        <v>38</v>
      </c>
      <c r="E1047" s="53">
        <v>1</v>
      </c>
      <c r="F1047" s="101">
        <f t="shared" si="243"/>
        <v>1486</v>
      </c>
      <c r="G1047" s="101">
        <f t="shared" si="244"/>
        <v>1486</v>
      </c>
      <c r="H1047" s="10" t="s">
        <v>17</v>
      </c>
      <c r="I1047" s="94" t="str">
        <f>A1047</f>
        <v>FB3</v>
      </c>
    </row>
    <row r="1048" spans="1:9" s="3" customFormat="1" ht="25.5" x14ac:dyDescent="0.25">
      <c r="A1048" s="94" t="s">
        <v>1277</v>
      </c>
      <c r="B1048" s="96" t="str">
        <f>A1048&amp;".What prevented you from accessing credit? "&amp;Other!AG2</f>
        <v>FB4.1.What prevented you from accessing credit? I did not have the required documents</v>
      </c>
      <c r="C1048" s="96" t="s">
        <v>142</v>
      </c>
      <c r="D1048" s="54" t="s">
        <v>38</v>
      </c>
      <c r="E1048" s="53">
        <v>1</v>
      </c>
      <c r="F1048" s="101">
        <f t="shared" si="243"/>
        <v>1487</v>
      </c>
      <c r="G1048" s="101">
        <f t="shared" si="244"/>
        <v>1487</v>
      </c>
      <c r="H1048" s="10" t="s">
        <v>1278</v>
      </c>
      <c r="I1048" s="110" t="str">
        <f>LEFT(A1048,3) &amp; "_" &amp;RIGHT(A1048,1)</f>
        <v>FB4_1</v>
      </c>
    </row>
    <row r="1049" spans="1:9" s="3" customFormat="1" ht="25.5" x14ac:dyDescent="0.25">
      <c r="A1049" s="94" t="s">
        <v>1279</v>
      </c>
      <c r="B1049" s="96" t="str">
        <f>A1049&amp;".What prevented you from accessing credit? "&amp;Other!AG3</f>
        <v>FB4.2.What prevented you from accessing credit? Already owed money on a loan</v>
      </c>
      <c r="C1049" s="96" t="s">
        <v>142</v>
      </c>
      <c r="D1049" s="54" t="s">
        <v>38</v>
      </c>
      <c r="E1049" s="53">
        <v>1</v>
      </c>
      <c r="F1049" s="101">
        <f t="shared" si="243"/>
        <v>1488</v>
      </c>
      <c r="G1049" s="101">
        <f t="shared" si="244"/>
        <v>1488</v>
      </c>
      <c r="H1049" s="10" t="s">
        <v>1278</v>
      </c>
      <c r="I1049" s="110" t="str">
        <f>LEFT(A1049,3) &amp; "_" &amp;RIGHT(A1049,1)</f>
        <v>FB4_2</v>
      </c>
    </row>
    <row r="1050" spans="1:9" s="3" customFormat="1" ht="25.5" x14ac:dyDescent="0.25">
      <c r="A1050" s="94" t="s">
        <v>1280</v>
      </c>
      <c r="B1050" s="96" t="str">
        <f>A1050&amp;".What prevented you from accessing credit? "&amp;Other!AG4</f>
        <v>FB4.3.What prevented you from accessing credit? Did not qualify for a credit</v>
      </c>
      <c r="C1050" s="96" t="s">
        <v>142</v>
      </c>
      <c r="D1050" s="54" t="s">
        <v>38</v>
      </c>
      <c r="E1050" s="53">
        <v>1</v>
      </c>
      <c r="F1050" s="101">
        <f t="shared" si="243"/>
        <v>1489</v>
      </c>
      <c r="G1050" s="101">
        <f t="shared" si="244"/>
        <v>1489</v>
      </c>
      <c r="H1050" s="10" t="s">
        <v>1278</v>
      </c>
      <c r="I1050" s="110" t="str">
        <f>LEFT(A1050,3) &amp; "_" &amp;RIGHT(A1050,1)</f>
        <v>FB4_3</v>
      </c>
    </row>
    <row r="1051" spans="1:9" ht="25.5" x14ac:dyDescent="0.25">
      <c r="A1051" s="94" t="s">
        <v>1281</v>
      </c>
      <c r="B1051" s="96" t="str">
        <f>A1051&amp;".What prevented you from accessing credit? "&amp;Other!AG5</f>
        <v>FB4.4.What prevented you from accessing credit? Did not know where to go to get a credit</v>
      </c>
      <c r="C1051" s="96" t="s">
        <v>142</v>
      </c>
      <c r="D1051" s="54" t="s">
        <v>38</v>
      </c>
      <c r="E1051" s="53">
        <v>1</v>
      </c>
      <c r="F1051" s="101">
        <f t="shared" si="243"/>
        <v>1490</v>
      </c>
      <c r="G1051" s="101">
        <f t="shared" si="244"/>
        <v>1490</v>
      </c>
      <c r="H1051" s="10" t="s">
        <v>1278</v>
      </c>
      <c r="I1051" s="110" t="str">
        <f>LEFT(A1051,3) &amp; "_" &amp;RIGHT(A1051,1)</f>
        <v>FB4_4</v>
      </c>
    </row>
    <row r="1052" spans="1:9" ht="25.5" x14ac:dyDescent="0.25">
      <c r="A1052" s="94" t="s">
        <v>1282</v>
      </c>
      <c r="B1052" s="96" t="str">
        <f>A1052&amp;".What prevented you from accessing credit? "&amp;Other!AG6</f>
        <v>FB4.96.What prevented you from accessing credit? Other (Specify)</v>
      </c>
      <c r="C1052" s="96" t="s">
        <v>142</v>
      </c>
      <c r="D1052" s="54" t="s">
        <v>38</v>
      </c>
      <c r="E1052" s="53">
        <v>1</v>
      </c>
      <c r="F1052" s="101">
        <f t="shared" si="243"/>
        <v>1491</v>
      </c>
      <c r="G1052" s="101">
        <f t="shared" si="244"/>
        <v>1491</v>
      </c>
      <c r="H1052" s="3" t="s">
        <v>1278</v>
      </c>
      <c r="I1052" s="110" t="str">
        <f>LEFT(A1052,3) &amp; "_" &amp;RIGHT(A1052,2)</f>
        <v>FB4_96</v>
      </c>
    </row>
    <row r="1053" spans="1:9" ht="38.25" x14ac:dyDescent="0.25">
      <c r="A1053" s="101" t="s">
        <v>1283</v>
      </c>
      <c r="B1053" s="96" t="str">
        <f>A1053&amp;".How many times in the past 12 months have you borrowed money (from outside your household)?"</f>
        <v>FB13.How many times in the past 12 months have you borrowed money (from outside your household)?</v>
      </c>
      <c r="C1053" s="96" t="s">
        <v>1284</v>
      </c>
      <c r="D1053" s="110" t="s">
        <v>1285</v>
      </c>
      <c r="E1053" s="101">
        <v>3</v>
      </c>
      <c r="F1053" s="101">
        <f t="shared" si="243"/>
        <v>1492</v>
      </c>
      <c r="G1053" s="101">
        <f t="shared" si="244"/>
        <v>1494</v>
      </c>
      <c r="H1053" s="3" t="s">
        <v>17</v>
      </c>
      <c r="I1053" s="110" t="str">
        <f>LEFT(A1053,4)</f>
        <v>FB13</v>
      </c>
    </row>
    <row r="1054" spans="1:9" ht="38.25" x14ac:dyDescent="0.25">
      <c r="A1054" s="101" t="s">
        <v>1286</v>
      </c>
      <c r="B1054" s="96" t="str">
        <f>A1054&amp;".How many times in the past 12 months did you borrow money to pay for education/school fees?"</f>
        <v>FB14.How many times in the past 12 months did you borrow money to pay for education/school fees?</v>
      </c>
      <c r="C1054" s="96" t="s">
        <v>1284</v>
      </c>
      <c r="D1054" s="110" t="s">
        <v>1285</v>
      </c>
      <c r="E1054" s="101">
        <v>3</v>
      </c>
      <c r="F1054" s="101">
        <f t="shared" si="243"/>
        <v>1495</v>
      </c>
      <c r="G1054" s="101">
        <f t="shared" si="244"/>
        <v>1497</v>
      </c>
      <c r="H1054" s="3" t="s">
        <v>1287</v>
      </c>
      <c r="I1054" s="110" t="str">
        <f>LEFT(A1054,4)</f>
        <v>FB14</v>
      </c>
    </row>
    <row r="1055" spans="1:9" ht="38.25" x14ac:dyDescent="0.25">
      <c r="A1055" s="101" t="s">
        <v>1288</v>
      </c>
      <c r="B1055" s="96" t="str">
        <f>A1055&amp;".How many times in the past 12 months did you borrow money because of an emergency?"</f>
        <v>FB15.How many times in the past 12 months did you borrow money because of an emergency?</v>
      </c>
      <c r="C1055" s="96" t="s">
        <v>1284</v>
      </c>
      <c r="D1055" s="110" t="s">
        <v>1285</v>
      </c>
      <c r="E1055" s="101">
        <v>3</v>
      </c>
      <c r="F1055" s="101">
        <f t="shared" si="243"/>
        <v>1498</v>
      </c>
      <c r="G1055" s="101">
        <f t="shared" si="244"/>
        <v>1500</v>
      </c>
      <c r="H1055" s="3" t="s">
        <v>1287</v>
      </c>
      <c r="I1055" s="110" t="str">
        <f>LEFT(A1055,4)</f>
        <v>FB15</v>
      </c>
    </row>
    <row r="1056" spans="1:9" ht="25.5" x14ac:dyDescent="0.25">
      <c r="A1056" s="101" t="s">
        <v>1289</v>
      </c>
      <c r="B1056" s="96" t="str">
        <f>A1056&amp;".Have you borrowed money/have loans from the following organizations or individuals? "&amp;Other!AH2</f>
        <v>FB16.1.Have you borrowed money/have loans from the following organizations or individuals? Bank, personal or business loans</v>
      </c>
      <c r="C1056" s="96" t="s">
        <v>142</v>
      </c>
      <c r="D1056" s="110" t="s">
        <v>38</v>
      </c>
      <c r="E1056" s="101">
        <v>1</v>
      </c>
      <c r="F1056" s="101">
        <f t="shared" si="243"/>
        <v>1501</v>
      </c>
      <c r="G1056" s="101">
        <f t="shared" si="244"/>
        <v>1501</v>
      </c>
      <c r="H1056" s="3" t="s">
        <v>17</v>
      </c>
      <c r="I1056" s="110" t="str">
        <f t="shared" ref="I1056:I1064" si="245">LEFT(A1056,4) &amp; "_" &amp;RIGHT(A1056,1)</f>
        <v>FB16_1</v>
      </c>
    </row>
    <row r="1057" spans="1:9" ht="25.5" x14ac:dyDescent="0.25">
      <c r="A1057" s="101" t="s">
        <v>1290</v>
      </c>
      <c r="B1057" s="96" t="str">
        <f>A1057&amp;".Have you borrowed money/have loans from the following organizations or individuals? "&amp;Other!AH3</f>
        <v>FB16.2.Have you borrowed money/have loans from the following organizations or individuals? Mobile money account (e.g., T-Cash, Rekening Ponsel, dll)</v>
      </c>
      <c r="C1057" s="96" t="s">
        <v>142</v>
      </c>
      <c r="D1057" s="110" t="s">
        <v>38</v>
      </c>
      <c r="E1057" s="101">
        <v>1</v>
      </c>
      <c r="F1057" s="101">
        <f t="shared" si="243"/>
        <v>1502</v>
      </c>
      <c r="G1057" s="101">
        <f t="shared" si="244"/>
        <v>1502</v>
      </c>
      <c r="H1057" s="3" t="s">
        <v>17</v>
      </c>
      <c r="I1057" s="110" t="str">
        <f t="shared" si="245"/>
        <v>FB16_2</v>
      </c>
    </row>
    <row r="1058" spans="1:9" ht="25.5" x14ac:dyDescent="0.25">
      <c r="A1058" s="101" t="s">
        <v>1291</v>
      </c>
      <c r="B1058" s="96" t="str">
        <f>A1058&amp;".Have you borrowed money/have loans from the following organizations or individuals? "&amp;Other!AH4</f>
        <v>FB16.3.Have you borrowed money/have loans from the following organizations or individuals? BPR</v>
      </c>
      <c r="C1058" s="96" t="s">
        <v>142</v>
      </c>
      <c r="D1058" s="110" t="s">
        <v>38</v>
      </c>
      <c r="E1058" s="101">
        <v>1</v>
      </c>
      <c r="F1058" s="101">
        <f t="shared" si="243"/>
        <v>1503</v>
      </c>
      <c r="G1058" s="101">
        <f t="shared" si="244"/>
        <v>1503</v>
      </c>
      <c r="H1058" s="3" t="s">
        <v>17</v>
      </c>
      <c r="I1058" s="110" t="str">
        <f t="shared" si="245"/>
        <v>FB16_3</v>
      </c>
    </row>
    <row r="1059" spans="1:9" ht="25.5" x14ac:dyDescent="0.25">
      <c r="A1059" s="101" t="s">
        <v>1292</v>
      </c>
      <c r="B1059" s="96" t="str">
        <f>A1059&amp;".Have you borrowed money/have loans from the following organizations or individuals? "&amp;Other!AH5</f>
        <v>FB16.4.Have you borrowed money/have loans from the following organizations or individuals? Cooperative</v>
      </c>
      <c r="C1059" s="96" t="s">
        <v>142</v>
      </c>
      <c r="D1059" s="110" t="s">
        <v>38</v>
      </c>
      <c r="E1059" s="101">
        <v>1</v>
      </c>
      <c r="F1059" s="101">
        <f t="shared" si="243"/>
        <v>1504</v>
      </c>
      <c r="G1059" s="101">
        <f t="shared" si="244"/>
        <v>1504</v>
      </c>
      <c r="H1059" s="10" t="s">
        <v>17</v>
      </c>
      <c r="I1059" s="110" t="str">
        <f t="shared" si="245"/>
        <v>FB16_4</v>
      </c>
    </row>
    <row r="1060" spans="1:9" ht="25.5" x14ac:dyDescent="0.25">
      <c r="A1060" s="101" t="s">
        <v>1293</v>
      </c>
      <c r="B1060" s="96" t="str">
        <f>A1060&amp;".Have you borrowed money/have loans from the following organizations or individuals? "&amp;Other!AH6</f>
        <v>FB16.5.Have you borrowed money/have loans from the following organizations or individuals? Pawnshop</v>
      </c>
      <c r="C1060" s="96" t="s">
        <v>142</v>
      </c>
      <c r="D1060" s="110" t="s">
        <v>38</v>
      </c>
      <c r="E1060" s="101">
        <v>1</v>
      </c>
      <c r="F1060" s="101">
        <f t="shared" si="243"/>
        <v>1505</v>
      </c>
      <c r="G1060" s="101">
        <f t="shared" si="244"/>
        <v>1505</v>
      </c>
      <c r="H1060" s="10" t="s">
        <v>17</v>
      </c>
      <c r="I1060" s="110" t="str">
        <f t="shared" si="245"/>
        <v>FB16_5</v>
      </c>
    </row>
    <row r="1061" spans="1:9" ht="25.5" x14ac:dyDescent="0.25">
      <c r="A1061" s="101" t="s">
        <v>1294</v>
      </c>
      <c r="B1061" s="96" t="str">
        <f>A1061&amp;".Have you borrowed money/have loans from the following organizations or individuals? "&amp;Other!AH7</f>
        <v>FB16.6.Have you borrowed money/have loans from the following organizations or individuals? Post office bank</v>
      </c>
      <c r="C1061" s="96" t="s">
        <v>142</v>
      </c>
      <c r="D1061" s="110" t="s">
        <v>38</v>
      </c>
      <c r="E1061" s="101">
        <v>1</v>
      </c>
      <c r="F1061" s="101">
        <f t="shared" si="243"/>
        <v>1506</v>
      </c>
      <c r="G1061" s="101">
        <f t="shared" si="244"/>
        <v>1506</v>
      </c>
      <c r="H1061" s="10" t="s">
        <v>17</v>
      </c>
      <c r="I1061" s="110" t="str">
        <f t="shared" si="245"/>
        <v>FB16_6</v>
      </c>
    </row>
    <row r="1062" spans="1:9" ht="25.5" x14ac:dyDescent="0.25">
      <c r="A1062" s="101" t="s">
        <v>1295</v>
      </c>
      <c r="B1062" s="96" t="str">
        <f>A1062&amp;".Have you borrowed money/have loans from the following organizations or individuals? "&amp;Other!AH8</f>
        <v>FB16.7.Have you borrowed money/have loans from the following organizations or individuals? Loan from a government institution e.g. </v>
      </c>
      <c r="C1062" s="96" t="s">
        <v>142</v>
      </c>
      <c r="D1062" s="110" t="s">
        <v>38</v>
      </c>
      <c r="E1062" s="101">
        <v>1</v>
      </c>
      <c r="F1062" s="101">
        <f t="shared" si="243"/>
        <v>1507</v>
      </c>
      <c r="G1062" s="101">
        <f t="shared" si="244"/>
        <v>1507</v>
      </c>
      <c r="H1062" s="10" t="s">
        <v>17</v>
      </c>
      <c r="I1062" s="110" t="str">
        <f t="shared" si="245"/>
        <v>FB16_7</v>
      </c>
    </row>
    <row r="1063" spans="1:9" ht="25.5" x14ac:dyDescent="0.25">
      <c r="A1063" s="101" t="s">
        <v>1296</v>
      </c>
      <c r="B1063" s="96" t="str">
        <f>A1063&amp;".Have you borrowed money/have loans from the following organizations or individuals? "&amp;Other!AH9</f>
        <v>FB16.8.Have you borrowed money/have loans from the following organizations or individuals? Loan from an employer</v>
      </c>
      <c r="C1063" s="96" t="s">
        <v>142</v>
      </c>
      <c r="D1063" s="110" t="s">
        <v>38</v>
      </c>
      <c r="E1063" s="101">
        <v>1</v>
      </c>
      <c r="F1063" s="101">
        <f t="shared" si="243"/>
        <v>1508</v>
      </c>
      <c r="G1063" s="101">
        <f t="shared" si="244"/>
        <v>1508</v>
      </c>
      <c r="H1063" s="10" t="s">
        <v>17</v>
      </c>
      <c r="I1063" s="110" t="str">
        <f t="shared" si="245"/>
        <v>FB16_8</v>
      </c>
    </row>
    <row r="1064" spans="1:9" ht="38.25" x14ac:dyDescent="0.25">
      <c r="A1064" s="101" t="s">
        <v>1297</v>
      </c>
      <c r="B1064" s="96" t="str">
        <f>A1064&amp;".Have you borrowed money/have loans from the following organizations or individuals? "&amp;Other!AH10</f>
        <v>FB16.9.Have you borrowed money/have loans from the following organizations or individuals? Loan from a group that lends to group members and to other with interest</v>
      </c>
      <c r="C1064" s="96" t="s">
        <v>142</v>
      </c>
      <c r="D1064" s="110" t="s">
        <v>38</v>
      </c>
      <c r="E1064" s="101">
        <v>1</v>
      </c>
      <c r="F1064" s="101">
        <f t="shared" si="243"/>
        <v>1509</v>
      </c>
      <c r="G1064" s="101">
        <f t="shared" si="244"/>
        <v>1509</v>
      </c>
      <c r="H1064" s="10" t="s">
        <v>17</v>
      </c>
      <c r="I1064" s="110" t="str">
        <f t="shared" si="245"/>
        <v>FB16_9</v>
      </c>
    </row>
    <row r="1065" spans="1:9" ht="25.5" x14ac:dyDescent="0.25">
      <c r="A1065" s="101" t="s">
        <v>1298</v>
      </c>
      <c r="B1065" s="96" t="str">
        <f>A1065&amp;".Have you borrowed money/have loans from the following organizations or individuals? "&amp;Other!AH11</f>
        <v>FB16.10.Have you borrowed money/have loans from the following organizations or individuals? Loan from family/friends/neighbour</v>
      </c>
      <c r="C1065" s="96" t="s">
        <v>142</v>
      </c>
      <c r="D1065" s="110" t="s">
        <v>38</v>
      </c>
      <c r="E1065" s="101">
        <v>1</v>
      </c>
      <c r="F1065" s="101">
        <f t="shared" si="243"/>
        <v>1510</v>
      </c>
      <c r="G1065" s="101">
        <f t="shared" si="244"/>
        <v>1510</v>
      </c>
      <c r="H1065" s="10" t="s">
        <v>17</v>
      </c>
      <c r="I1065" s="110" t="str">
        <f t="shared" ref="I1065:I1069" si="246">LEFT(A1065,4) &amp; "_" &amp;RIGHT(A1065,2)</f>
        <v>FB16_10</v>
      </c>
    </row>
    <row r="1066" spans="1:9" ht="25.5" x14ac:dyDescent="0.25">
      <c r="A1066" s="101" t="s">
        <v>1299</v>
      </c>
      <c r="B1066" s="96" t="str">
        <f>A1066&amp;".Have you borrowed money/have loans from the following organizations or individuals? "&amp;Other!AH12</f>
        <v>FB16.11.Have you borrowed money/have loans from the following organizations or individuals? Loan from an informal moneylender</v>
      </c>
      <c r="C1066" s="96" t="s">
        <v>142</v>
      </c>
      <c r="D1066" s="110" t="s">
        <v>38</v>
      </c>
      <c r="E1066" s="101">
        <v>1</v>
      </c>
      <c r="F1066" s="101">
        <f t="shared" si="243"/>
        <v>1511</v>
      </c>
      <c r="G1066" s="101">
        <f t="shared" si="244"/>
        <v>1511</v>
      </c>
      <c r="H1066" s="10" t="s">
        <v>17</v>
      </c>
      <c r="I1066" s="110" t="str">
        <f t="shared" si="246"/>
        <v>FB16_11</v>
      </c>
    </row>
    <row r="1067" spans="1:9" ht="25.5" x14ac:dyDescent="0.25">
      <c r="A1067" s="101" t="s">
        <v>1300</v>
      </c>
      <c r="B1067" s="96" t="str">
        <f>A1067&amp;".Have you borrowed money/have loans from the following organizations or individuals? "&amp;Other!AH13</f>
        <v>FB16.12.Have you borrowed money/have loans from the following organizations or individuals? Local shop/supplier that allows you to take goods/services on credit</v>
      </c>
      <c r="C1067" s="96" t="s">
        <v>142</v>
      </c>
      <c r="D1067" s="110" t="s">
        <v>38</v>
      </c>
      <c r="E1067" s="101">
        <v>1</v>
      </c>
      <c r="F1067" s="101">
        <f t="shared" si="243"/>
        <v>1512</v>
      </c>
      <c r="G1067" s="101">
        <f t="shared" si="244"/>
        <v>1512</v>
      </c>
      <c r="H1067" s="10" t="s">
        <v>17</v>
      </c>
      <c r="I1067" s="110" t="str">
        <f t="shared" si="246"/>
        <v>FB16_12</v>
      </c>
    </row>
    <row r="1068" spans="1:9" ht="25.5" x14ac:dyDescent="0.25">
      <c r="A1068" s="101" t="s">
        <v>1301</v>
      </c>
      <c r="B1068" s="96" t="str">
        <f>A1068&amp;".Have you borrowed money/have loans from the following organizations or individuals? "&amp;Other!AH14</f>
        <v>FB16.13.Have you borrowed money/have loans from the following organizations or individuals? Loan/credits from buyer (of your 21harvest, e.g. tobacco, vegetables)</v>
      </c>
      <c r="C1068" s="96" t="s">
        <v>142</v>
      </c>
      <c r="D1068" s="110" t="s">
        <v>38</v>
      </c>
      <c r="E1068" s="101">
        <v>1</v>
      </c>
      <c r="F1068" s="101">
        <f t="shared" si="243"/>
        <v>1513</v>
      </c>
      <c r="G1068" s="101">
        <f t="shared" si="244"/>
        <v>1513</v>
      </c>
      <c r="H1068" s="10" t="s">
        <v>17</v>
      </c>
      <c r="I1068" s="110" t="str">
        <f t="shared" si="246"/>
        <v>FB16_13</v>
      </c>
    </row>
    <row r="1069" spans="1:9" ht="25.5" x14ac:dyDescent="0.25">
      <c r="A1069" s="101" t="s">
        <v>1302</v>
      </c>
      <c r="B1069" s="96" t="str">
        <f>A1069&amp;".Have you borrowed money/have loans from the following organizations or individuals? "&amp;Other!AH15</f>
        <v>FB16.14.Have you borrowed money/have loans from the following organizations or individuals? Layaway purchase/loan</v>
      </c>
      <c r="C1069" s="96" t="s">
        <v>142</v>
      </c>
      <c r="D1069" s="110" t="s">
        <v>38</v>
      </c>
      <c r="E1069" s="101">
        <v>1</v>
      </c>
      <c r="F1069" s="101">
        <f t="shared" si="243"/>
        <v>1514</v>
      </c>
      <c r="G1069" s="101">
        <f t="shared" si="244"/>
        <v>1514</v>
      </c>
      <c r="H1069" s="10" t="s">
        <v>17</v>
      </c>
      <c r="I1069" s="110" t="str">
        <f t="shared" si="246"/>
        <v>FB16_14</v>
      </c>
    </row>
    <row r="1070" spans="1:9" ht="25.5" x14ac:dyDescent="0.25">
      <c r="A1070" s="101" t="s">
        <v>1303</v>
      </c>
      <c r="B1070" s="96" t="str">
        <f>A1070&amp;".Have you borrowed money/have loans from the following organizations or individuals? "&amp;Other!AH16</f>
        <v>FB16.15.Have you borrowed money/have loans from the following organizations or individuals? Unofficial pawnshop</v>
      </c>
      <c r="C1070" s="96" t="s">
        <v>142</v>
      </c>
      <c r="D1070" s="110" t="s">
        <v>38</v>
      </c>
      <c r="E1070" s="101">
        <v>1</v>
      </c>
      <c r="F1070" s="101">
        <f t="shared" ref="F1070:F1071" si="247">G1069+1</f>
        <v>1515</v>
      </c>
      <c r="G1070" s="101">
        <f t="shared" ref="G1070:G1071" si="248">G1069+E1070</f>
        <v>1515</v>
      </c>
      <c r="H1070" s="10" t="s">
        <v>17</v>
      </c>
      <c r="I1070" s="110" t="str">
        <f t="shared" ref="I1070:I1071" si="249">LEFT(A1070,4) &amp; "_" &amp;RIGHT(A1070,2)</f>
        <v>FB16_15</v>
      </c>
    </row>
    <row r="1071" spans="1:9" ht="25.5" x14ac:dyDescent="0.25">
      <c r="A1071" s="101" t="s">
        <v>1304</v>
      </c>
      <c r="B1071" s="96" t="str">
        <f>A1071&amp;".Have you borrowed money/have loans from the following organizations or individuals? "&amp;Other!AH17</f>
        <v>FB16.96.Have you borrowed money/have loans from the following organizations or individuals? Other (Specify)</v>
      </c>
      <c r="C1071" s="96" t="s">
        <v>142</v>
      </c>
      <c r="D1071" s="110" t="s">
        <v>38</v>
      </c>
      <c r="E1071" s="101">
        <v>1</v>
      </c>
      <c r="F1071" s="101">
        <f t="shared" si="247"/>
        <v>1516</v>
      </c>
      <c r="G1071" s="101">
        <f t="shared" si="248"/>
        <v>1516</v>
      </c>
      <c r="H1071" s="10" t="s">
        <v>17</v>
      </c>
      <c r="I1071" s="110" t="str">
        <f t="shared" si="249"/>
        <v>FB16_96</v>
      </c>
    </row>
    <row r="1072" spans="1:9" ht="25.5" x14ac:dyDescent="0.25">
      <c r="A1072" s="101" t="s">
        <v>1305</v>
      </c>
      <c r="B1072" s="96" t="str">
        <f>A1072&amp;".Do you current have a loan with this organization? "&amp;Other!AH2</f>
        <v>FB16A.1.Do you current have a loan with this organization? Bank, personal or business loans</v>
      </c>
      <c r="C1072" s="96" t="s">
        <v>142</v>
      </c>
      <c r="D1072" s="110" t="s">
        <v>38</v>
      </c>
      <c r="E1072" s="101">
        <v>1</v>
      </c>
      <c r="F1072" s="101">
        <f t="shared" si="243"/>
        <v>1517</v>
      </c>
      <c r="G1072" s="101">
        <f t="shared" si="244"/>
        <v>1517</v>
      </c>
      <c r="H1072" s="10" t="str">
        <f t="shared" ref="H1072:H1087" si="250">"IF "&amp;I1056&amp;"=1"</f>
        <v>IF FB16_1=1</v>
      </c>
      <c r="I1072" s="110" t="str">
        <f>LEFT(A1072,5) &amp; "_" &amp;RIGHT(A1072,1)</f>
        <v>FB16A_1</v>
      </c>
    </row>
    <row r="1073" spans="1:9" ht="25.5" x14ac:dyDescent="0.25">
      <c r="A1073" s="101" t="s">
        <v>1306</v>
      </c>
      <c r="B1073" s="96" t="str">
        <f>A1073&amp;".Do you current have a loan with this organization? "&amp;Other!AH3</f>
        <v>FB16A.2.Do you current have a loan with this organization? Mobile money account (e.g., T-Cash, Rekening Ponsel, dll)</v>
      </c>
      <c r="C1073" s="96" t="s">
        <v>142</v>
      </c>
      <c r="D1073" s="110" t="s">
        <v>38</v>
      </c>
      <c r="E1073" s="101">
        <v>1</v>
      </c>
      <c r="F1073" s="101">
        <f t="shared" si="243"/>
        <v>1518</v>
      </c>
      <c r="G1073" s="101">
        <f t="shared" si="244"/>
        <v>1518</v>
      </c>
      <c r="H1073" s="10" t="str">
        <f t="shared" si="250"/>
        <v>IF FB16_2=1</v>
      </c>
      <c r="I1073" s="110" t="str">
        <f t="shared" ref="I1073:I1080" si="251">LEFT(A1073,5) &amp; "_" &amp;RIGHT(A1073,1)</f>
        <v>FB16A_2</v>
      </c>
    </row>
    <row r="1074" spans="1:9" ht="25.5" x14ac:dyDescent="0.25">
      <c r="A1074" s="110" t="s">
        <v>1307</v>
      </c>
      <c r="B1074" s="96" t="str">
        <f>A1074&amp;".Do you current have a loan with this organization? "&amp;Other!AH4</f>
        <v>FB16A.3.Do you current have a loan with this organization? BPR</v>
      </c>
      <c r="C1074" s="96" t="s">
        <v>142</v>
      </c>
      <c r="D1074" s="110" t="s">
        <v>38</v>
      </c>
      <c r="E1074" s="101">
        <v>1</v>
      </c>
      <c r="F1074" s="101">
        <f t="shared" si="243"/>
        <v>1519</v>
      </c>
      <c r="G1074" s="101">
        <f t="shared" si="244"/>
        <v>1519</v>
      </c>
      <c r="H1074" s="10" t="str">
        <f t="shared" si="250"/>
        <v>IF FB16_3=1</v>
      </c>
      <c r="I1074" s="110" t="str">
        <f t="shared" si="251"/>
        <v>FB16A_3</v>
      </c>
    </row>
    <row r="1075" spans="1:9" ht="25.5" x14ac:dyDescent="0.25">
      <c r="A1075" s="110" t="s">
        <v>1308</v>
      </c>
      <c r="B1075" s="96" t="str">
        <f>A1075&amp;".Do you current have a loan with this organization? "&amp;Other!AH5</f>
        <v>FB16A.4.Do you current have a loan with this organization? Cooperative</v>
      </c>
      <c r="C1075" s="96" t="s">
        <v>142</v>
      </c>
      <c r="D1075" s="110" t="s">
        <v>38</v>
      </c>
      <c r="E1075" s="101">
        <v>1</v>
      </c>
      <c r="F1075" s="101">
        <f t="shared" si="243"/>
        <v>1520</v>
      </c>
      <c r="G1075" s="101">
        <f t="shared" si="244"/>
        <v>1520</v>
      </c>
      <c r="H1075" s="10" t="str">
        <f t="shared" si="250"/>
        <v>IF FB16_4=1</v>
      </c>
      <c r="I1075" s="110" t="str">
        <f t="shared" si="251"/>
        <v>FB16A_4</v>
      </c>
    </row>
    <row r="1076" spans="1:9" ht="25.5" x14ac:dyDescent="0.25">
      <c r="A1076" s="110" t="s">
        <v>1309</v>
      </c>
      <c r="B1076" s="96" t="str">
        <f>A1076&amp;".Do you current have a loan with this organization? "&amp;Other!AH6</f>
        <v>FB16A.5.Do you current have a loan with this organization? Pawnshop</v>
      </c>
      <c r="C1076" s="96" t="s">
        <v>142</v>
      </c>
      <c r="D1076" s="110" t="s">
        <v>38</v>
      </c>
      <c r="E1076" s="101">
        <v>1</v>
      </c>
      <c r="F1076" s="101">
        <f t="shared" si="243"/>
        <v>1521</v>
      </c>
      <c r="G1076" s="101">
        <f t="shared" si="244"/>
        <v>1521</v>
      </c>
      <c r="H1076" s="10" t="str">
        <f t="shared" si="250"/>
        <v>IF FB16_5=1</v>
      </c>
      <c r="I1076" s="110" t="str">
        <f t="shared" si="251"/>
        <v>FB16A_5</v>
      </c>
    </row>
    <row r="1077" spans="1:9" ht="25.5" x14ac:dyDescent="0.25">
      <c r="A1077" s="110" t="s">
        <v>1310</v>
      </c>
      <c r="B1077" s="96" t="str">
        <f>A1077&amp;".Do you current have a loan with this organization? "&amp;Other!AH7</f>
        <v>FB16A.6.Do you current have a loan with this organization? Post office bank</v>
      </c>
      <c r="C1077" s="96" t="s">
        <v>142</v>
      </c>
      <c r="D1077" s="110" t="s">
        <v>38</v>
      </c>
      <c r="E1077" s="101">
        <v>1</v>
      </c>
      <c r="F1077" s="101">
        <f t="shared" si="243"/>
        <v>1522</v>
      </c>
      <c r="G1077" s="101">
        <f t="shared" si="244"/>
        <v>1522</v>
      </c>
      <c r="H1077" s="10" t="str">
        <f t="shared" si="250"/>
        <v>IF FB16_6=1</v>
      </c>
      <c r="I1077" s="110" t="str">
        <f t="shared" si="251"/>
        <v>FB16A_6</v>
      </c>
    </row>
    <row r="1078" spans="1:9" ht="25.5" x14ac:dyDescent="0.25">
      <c r="A1078" s="110" t="s">
        <v>1311</v>
      </c>
      <c r="B1078" s="96" t="str">
        <f>A1078&amp;".Do you current have a loan with this organization? "&amp;Other!AH8</f>
        <v>FB16A.7.Do you current have a loan with this organization? Loan from a government institution e.g. </v>
      </c>
      <c r="C1078" s="96" t="s">
        <v>142</v>
      </c>
      <c r="D1078" s="110" t="s">
        <v>38</v>
      </c>
      <c r="E1078" s="101">
        <v>1</v>
      </c>
      <c r="F1078" s="101">
        <f t="shared" si="243"/>
        <v>1523</v>
      </c>
      <c r="G1078" s="101">
        <f t="shared" si="244"/>
        <v>1523</v>
      </c>
      <c r="H1078" s="10" t="str">
        <f t="shared" si="250"/>
        <v>IF FB16_7=1</v>
      </c>
      <c r="I1078" s="110" t="str">
        <f t="shared" si="251"/>
        <v>FB16A_7</v>
      </c>
    </row>
    <row r="1079" spans="1:9" ht="25.5" x14ac:dyDescent="0.25">
      <c r="A1079" s="110" t="s">
        <v>1312</v>
      </c>
      <c r="B1079" s="96" t="str">
        <f>A1079&amp;".Do you current have a loan with this organization? "&amp;Other!AH9</f>
        <v>FB16A.8.Do you current have a loan with this organization? Loan from an employer</v>
      </c>
      <c r="C1079" s="96" t="s">
        <v>142</v>
      </c>
      <c r="D1079" s="110" t="s">
        <v>38</v>
      </c>
      <c r="E1079" s="101">
        <v>1</v>
      </c>
      <c r="F1079" s="101">
        <f t="shared" si="243"/>
        <v>1524</v>
      </c>
      <c r="G1079" s="101">
        <f t="shared" si="244"/>
        <v>1524</v>
      </c>
      <c r="H1079" s="10" t="str">
        <f t="shared" si="250"/>
        <v>IF FB16_8=1</v>
      </c>
      <c r="I1079" s="110" t="str">
        <f t="shared" si="251"/>
        <v>FB16A_8</v>
      </c>
    </row>
    <row r="1080" spans="1:9" ht="25.5" x14ac:dyDescent="0.25">
      <c r="A1080" s="110" t="s">
        <v>1313</v>
      </c>
      <c r="B1080" s="96" t="str">
        <f>A1080&amp;".Do you current have a loan with this organization? "&amp;Other!AH10</f>
        <v>FB16A.9.Do you current have a loan with this organization? Loan from a group that lends to group members and to other with interest</v>
      </c>
      <c r="C1080" s="96" t="s">
        <v>142</v>
      </c>
      <c r="D1080" s="110" t="s">
        <v>38</v>
      </c>
      <c r="E1080" s="101">
        <v>1</v>
      </c>
      <c r="F1080" s="101">
        <f t="shared" si="243"/>
        <v>1525</v>
      </c>
      <c r="G1080" s="101">
        <f t="shared" si="244"/>
        <v>1525</v>
      </c>
      <c r="H1080" s="10" t="str">
        <f t="shared" si="250"/>
        <v>IF FB16_9=1</v>
      </c>
      <c r="I1080" s="110" t="str">
        <f t="shared" si="251"/>
        <v>FB16A_9</v>
      </c>
    </row>
    <row r="1081" spans="1:9" ht="25.5" x14ac:dyDescent="0.25">
      <c r="A1081" s="110" t="s">
        <v>1314</v>
      </c>
      <c r="B1081" s="96" t="str">
        <f>A1081&amp;".Do you current have a loan with this organization? "&amp;Other!AH11</f>
        <v>FB16A.10.Do you current have a loan with this organization? Loan from family/friends/neighbour</v>
      </c>
      <c r="C1081" s="96" t="s">
        <v>142</v>
      </c>
      <c r="D1081" s="110" t="s">
        <v>38</v>
      </c>
      <c r="E1081" s="101">
        <v>1</v>
      </c>
      <c r="F1081" s="101">
        <f t="shared" si="243"/>
        <v>1526</v>
      </c>
      <c r="G1081" s="101">
        <f t="shared" si="244"/>
        <v>1526</v>
      </c>
      <c r="H1081" s="10" t="str">
        <f t="shared" si="250"/>
        <v>IF FB16_10=1</v>
      </c>
      <c r="I1081" s="110" t="str">
        <f t="shared" ref="I1081:I1084" si="252">LEFT(A1081,5) &amp; "_" &amp;RIGHT(A1081,2)</f>
        <v>FB16A_10</v>
      </c>
    </row>
    <row r="1082" spans="1:9" ht="25.5" x14ac:dyDescent="0.25">
      <c r="A1082" s="110" t="s">
        <v>1315</v>
      </c>
      <c r="B1082" s="96" t="str">
        <f>A1082&amp;".Do you current have a loan with this organization? "&amp;Other!AH12</f>
        <v>FB16A.11.Do you current have a loan with this organization? Loan from an informal moneylender</v>
      </c>
      <c r="C1082" s="96" t="s">
        <v>142</v>
      </c>
      <c r="D1082" s="110" t="s">
        <v>38</v>
      </c>
      <c r="E1082" s="101">
        <v>1</v>
      </c>
      <c r="F1082" s="101">
        <f t="shared" si="243"/>
        <v>1527</v>
      </c>
      <c r="G1082" s="101">
        <f t="shared" si="244"/>
        <v>1527</v>
      </c>
      <c r="H1082" s="10" t="str">
        <f t="shared" si="250"/>
        <v>IF FB16_11=1</v>
      </c>
      <c r="I1082" s="110" t="str">
        <f t="shared" si="252"/>
        <v>FB16A_11</v>
      </c>
    </row>
    <row r="1083" spans="1:9" ht="25.5" x14ac:dyDescent="0.25">
      <c r="A1083" s="110" t="s">
        <v>1316</v>
      </c>
      <c r="B1083" s="96" t="str">
        <f>A1083&amp;".Do you current have a loan with this organization? "&amp;Other!AH13</f>
        <v>FB16A.12.Do you current have a loan with this organization? Local shop/supplier that allows you to take goods/services on credit</v>
      </c>
      <c r="C1083" s="96" t="s">
        <v>142</v>
      </c>
      <c r="D1083" s="110" t="s">
        <v>38</v>
      </c>
      <c r="E1083" s="101">
        <v>1</v>
      </c>
      <c r="F1083" s="101">
        <f t="shared" si="243"/>
        <v>1528</v>
      </c>
      <c r="G1083" s="101">
        <f t="shared" si="244"/>
        <v>1528</v>
      </c>
      <c r="H1083" s="10" t="str">
        <f t="shared" si="250"/>
        <v>IF FB16_12=1</v>
      </c>
      <c r="I1083" s="110" t="str">
        <f t="shared" si="252"/>
        <v>FB16A_12</v>
      </c>
    </row>
    <row r="1084" spans="1:9" ht="25.5" x14ac:dyDescent="0.25">
      <c r="A1084" s="110" t="s">
        <v>1317</v>
      </c>
      <c r="B1084" s="96" t="str">
        <f>A1084&amp;".Do you current have a loan with this organization? "&amp;Other!AH14</f>
        <v>FB16A.13.Do you current have a loan with this organization? Loan/credits from buyer (of your 21harvest, e.g. tobacco, vegetables)</v>
      </c>
      <c r="C1084" s="96" t="s">
        <v>142</v>
      </c>
      <c r="D1084" s="110" t="s">
        <v>38</v>
      </c>
      <c r="E1084" s="101">
        <v>1</v>
      </c>
      <c r="F1084" s="101">
        <f t="shared" si="243"/>
        <v>1529</v>
      </c>
      <c r="G1084" s="101">
        <f t="shared" si="244"/>
        <v>1529</v>
      </c>
      <c r="H1084" s="10" t="str">
        <f t="shared" si="250"/>
        <v>IF FB16_13=1</v>
      </c>
      <c r="I1084" s="110" t="str">
        <f t="shared" si="252"/>
        <v>FB16A_13</v>
      </c>
    </row>
    <row r="1085" spans="1:9" ht="25.5" x14ac:dyDescent="0.25">
      <c r="A1085" s="110" t="s">
        <v>1318</v>
      </c>
      <c r="B1085" s="96" t="str">
        <f>A1085&amp;".Do you current have a loan with this organization? "&amp;Other!AH15</f>
        <v>FB16A.14.Do you current have a loan with this organization? Layaway purchase/loan</v>
      </c>
      <c r="C1085" s="96" t="s">
        <v>142</v>
      </c>
      <c r="D1085" s="110" t="s">
        <v>38</v>
      </c>
      <c r="E1085" s="101">
        <v>1</v>
      </c>
      <c r="F1085" s="101">
        <f t="shared" ref="F1085:F1087" si="253">G1084+1</f>
        <v>1530</v>
      </c>
      <c r="G1085" s="101">
        <f t="shared" ref="G1085:G1087" si="254">G1084+E1085</f>
        <v>1530</v>
      </c>
      <c r="H1085" s="10" t="str">
        <f t="shared" si="250"/>
        <v>IF FB16_14=1</v>
      </c>
      <c r="I1085" s="110" t="str">
        <f t="shared" ref="I1085:I1087" si="255">LEFT(A1085,5) &amp; "_" &amp;RIGHT(A1085,2)</f>
        <v>FB16A_14</v>
      </c>
    </row>
    <row r="1086" spans="1:9" ht="25.5" x14ac:dyDescent="0.25">
      <c r="A1086" s="110" t="s">
        <v>1319</v>
      </c>
      <c r="B1086" s="96" t="str">
        <f>A1086&amp;".Do you current have a loan with this organization? "&amp;Other!AH16</f>
        <v>FB16A.15.Do you current have a loan with this organization? Unofficial pawnshop</v>
      </c>
      <c r="C1086" s="96" t="s">
        <v>142</v>
      </c>
      <c r="D1086" s="110" t="s">
        <v>38</v>
      </c>
      <c r="E1086" s="101">
        <v>1</v>
      </c>
      <c r="F1086" s="101">
        <f t="shared" si="253"/>
        <v>1531</v>
      </c>
      <c r="G1086" s="101">
        <f t="shared" si="254"/>
        <v>1531</v>
      </c>
      <c r="H1086" s="10" t="str">
        <f t="shared" si="250"/>
        <v>IF FB16_15=1</v>
      </c>
      <c r="I1086" s="110" t="str">
        <f t="shared" si="255"/>
        <v>FB16A_15</v>
      </c>
    </row>
    <row r="1087" spans="1:9" ht="25.5" x14ac:dyDescent="0.25">
      <c r="A1087" s="110" t="s">
        <v>1320</v>
      </c>
      <c r="B1087" s="96" t="str">
        <f>A1087&amp;".Do you current have a loan with this organization? "&amp;Other!AH17</f>
        <v>FB16A.96.Do you current have a loan with this organization? Other (Specify)</v>
      </c>
      <c r="C1087" s="96" t="s">
        <v>142</v>
      </c>
      <c r="D1087" s="110" t="s">
        <v>38</v>
      </c>
      <c r="E1087" s="101">
        <v>1</v>
      </c>
      <c r="F1087" s="101">
        <f t="shared" si="253"/>
        <v>1532</v>
      </c>
      <c r="G1087" s="101">
        <f t="shared" si="254"/>
        <v>1532</v>
      </c>
      <c r="H1087" s="10" t="str">
        <f t="shared" si="250"/>
        <v>IF FB16_96=1</v>
      </c>
      <c r="I1087" s="110" t="str">
        <f t="shared" si="255"/>
        <v>FB16A_96</v>
      </c>
    </row>
    <row r="1088" spans="1:9" ht="25.5" x14ac:dyDescent="0.25">
      <c r="A1088" s="110" t="s">
        <v>1321</v>
      </c>
      <c r="B1088" s="96" t="str">
        <f>A1088&amp;".Do you know what interest rate or fee you pay on your loans from…? "&amp;Other!AH2</f>
        <v>FB17.1.Do you know what interest rate or fee you pay on your loans from…? Bank, personal or business loans</v>
      </c>
      <c r="C1088" s="96" t="s">
        <v>142</v>
      </c>
      <c r="D1088" s="110" t="s">
        <v>38</v>
      </c>
      <c r="E1088" s="101">
        <v>1</v>
      </c>
      <c r="F1088" s="101">
        <f t="shared" si="243"/>
        <v>1533</v>
      </c>
      <c r="G1088" s="101">
        <f t="shared" si="244"/>
        <v>1533</v>
      </c>
      <c r="H1088" s="10" t="str">
        <f t="shared" ref="H1088:H1103" si="256">"IF "&amp;I1056&amp;"=1"</f>
        <v>IF FB16_1=1</v>
      </c>
      <c r="I1088" s="110" t="str">
        <f t="shared" ref="I1088:I1096" si="257">LEFT(A1088,4) &amp; "_" &amp;RIGHT(A1088,1)</f>
        <v>FB17_1</v>
      </c>
    </row>
    <row r="1089" spans="1:9" ht="25.5" x14ac:dyDescent="0.25">
      <c r="A1089" s="110" t="s">
        <v>1322</v>
      </c>
      <c r="B1089" s="96" t="str">
        <f>A1089&amp;".Do you know what interest rate or fee you pay on your loans from…? "&amp;Other!AH3</f>
        <v>FB17.2.Do you know what interest rate or fee you pay on your loans from…? Mobile money account (e.g., T-Cash, Rekening Ponsel, dll)</v>
      </c>
      <c r="C1089" s="96" t="s">
        <v>142</v>
      </c>
      <c r="D1089" s="110" t="s">
        <v>38</v>
      </c>
      <c r="E1089" s="101">
        <v>1</v>
      </c>
      <c r="F1089" s="101">
        <f t="shared" si="243"/>
        <v>1534</v>
      </c>
      <c r="G1089" s="101">
        <f t="shared" si="244"/>
        <v>1534</v>
      </c>
      <c r="H1089" s="10" t="str">
        <f t="shared" si="256"/>
        <v>IF FB16_2=1</v>
      </c>
      <c r="I1089" s="110" t="str">
        <f t="shared" si="257"/>
        <v>FB17_2</v>
      </c>
    </row>
    <row r="1090" spans="1:9" ht="25.5" x14ac:dyDescent="0.25">
      <c r="A1090" s="110" t="s">
        <v>1323</v>
      </c>
      <c r="B1090" s="96" t="str">
        <f>A1090&amp;".Do you know what interest rate or fee you pay on your loans from…? "&amp;Other!AH4</f>
        <v>FB17.3.Do you know what interest rate or fee you pay on your loans from…? BPR</v>
      </c>
      <c r="C1090" s="96" t="s">
        <v>142</v>
      </c>
      <c r="D1090" s="110" t="s">
        <v>38</v>
      </c>
      <c r="E1090" s="101">
        <v>1</v>
      </c>
      <c r="F1090" s="101">
        <f t="shared" si="243"/>
        <v>1535</v>
      </c>
      <c r="G1090" s="101">
        <f t="shared" si="244"/>
        <v>1535</v>
      </c>
      <c r="H1090" s="10" t="str">
        <f t="shared" si="256"/>
        <v>IF FB16_3=1</v>
      </c>
      <c r="I1090" s="110" t="str">
        <f t="shared" si="257"/>
        <v>FB17_3</v>
      </c>
    </row>
    <row r="1091" spans="1:9" ht="25.5" x14ac:dyDescent="0.25">
      <c r="A1091" s="110" t="s">
        <v>1324</v>
      </c>
      <c r="B1091" s="96" t="str">
        <f>A1091&amp;".Do you know what interest rate or fee you pay on your loans from…? "&amp;Other!AH5</f>
        <v>FB17.4.Do you know what interest rate or fee you pay on your loans from…? Cooperative</v>
      </c>
      <c r="C1091" s="96" t="s">
        <v>142</v>
      </c>
      <c r="D1091" s="110" t="s">
        <v>38</v>
      </c>
      <c r="E1091" s="101">
        <v>1</v>
      </c>
      <c r="F1091" s="101">
        <f t="shared" si="243"/>
        <v>1536</v>
      </c>
      <c r="G1091" s="101">
        <f t="shared" si="244"/>
        <v>1536</v>
      </c>
      <c r="H1091" s="10" t="str">
        <f t="shared" si="256"/>
        <v>IF FB16_4=1</v>
      </c>
      <c r="I1091" s="110" t="str">
        <f t="shared" si="257"/>
        <v>FB17_4</v>
      </c>
    </row>
    <row r="1092" spans="1:9" ht="25.5" x14ac:dyDescent="0.25">
      <c r="A1092" s="110" t="s">
        <v>1325</v>
      </c>
      <c r="B1092" s="96" t="str">
        <f>A1092&amp;".Do you know what interest rate or fee you pay on your loans from…? "&amp;Other!AH6</f>
        <v>FB17.5.Do you know what interest rate or fee you pay on your loans from…? Pawnshop</v>
      </c>
      <c r="C1092" s="96" t="s">
        <v>142</v>
      </c>
      <c r="D1092" s="110" t="s">
        <v>38</v>
      </c>
      <c r="E1092" s="101">
        <v>1</v>
      </c>
      <c r="F1092" s="101">
        <f t="shared" si="243"/>
        <v>1537</v>
      </c>
      <c r="G1092" s="101">
        <f t="shared" si="244"/>
        <v>1537</v>
      </c>
      <c r="H1092" s="10" t="str">
        <f t="shared" si="256"/>
        <v>IF FB16_5=1</v>
      </c>
      <c r="I1092" s="110" t="str">
        <f t="shared" si="257"/>
        <v>FB17_5</v>
      </c>
    </row>
    <row r="1093" spans="1:9" ht="25.5" x14ac:dyDescent="0.25">
      <c r="A1093" s="110" t="s">
        <v>1326</v>
      </c>
      <c r="B1093" s="96" t="str">
        <f>A1093&amp;".Do you know what interest rate or fee you pay on your loans from…? "&amp;Other!AH7</f>
        <v>FB17.6.Do you know what interest rate or fee you pay on your loans from…? Post office bank</v>
      </c>
      <c r="C1093" s="96" t="s">
        <v>142</v>
      </c>
      <c r="D1093" s="110" t="s">
        <v>38</v>
      </c>
      <c r="E1093" s="101">
        <v>1</v>
      </c>
      <c r="F1093" s="101">
        <f t="shared" si="243"/>
        <v>1538</v>
      </c>
      <c r="G1093" s="101">
        <f t="shared" si="244"/>
        <v>1538</v>
      </c>
      <c r="H1093" s="10" t="str">
        <f t="shared" si="256"/>
        <v>IF FB16_6=1</v>
      </c>
      <c r="I1093" s="110" t="str">
        <f t="shared" si="257"/>
        <v>FB17_6</v>
      </c>
    </row>
    <row r="1094" spans="1:9" ht="25.5" x14ac:dyDescent="0.25">
      <c r="A1094" s="110" t="s">
        <v>1327</v>
      </c>
      <c r="B1094" s="96" t="str">
        <f>A1094&amp;".Do you know what interest rate or fee you pay on your loans from…? "&amp;Other!AH8</f>
        <v>FB17.7.Do you know what interest rate or fee you pay on your loans from…? Loan from a government institution e.g. </v>
      </c>
      <c r="C1094" s="96" t="s">
        <v>142</v>
      </c>
      <c r="D1094" s="110" t="s">
        <v>38</v>
      </c>
      <c r="E1094" s="101">
        <v>1</v>
      </c>
      <c r="F1094" s="101">
        <f t="shared" si="243"/>
        <v>1539</v>
      </c>
      <c r="G1094" s="101">
        <f t="shared" si="244"/>
        <v>1539</v>
      </c>
      <c r="H1094" s="10" t="str">
        <f t="shared" si="256"/>
        <v>IF FB16_7=1</v>
      </c>
      <c r="I1094" s="110" t="str">
        <f t="shared" si="257"/>
        <v>FB17_7</v>
      </c>
    </row>
    <row r="1095" spans="1:9" ht="25.5" x14ac:dyDescent="0.25">
      <c r="A1095" s="110" t="s">
        <v>1328</v>
      </c>
      <c r="B1095" s="96" t="str">
        <f>A1095&amp;".Do you know what interest rate or fee you pay on your loans from…? "&amp;Other!AH9</f>
        <v>FB17.8.Do you know what interest rate or fee you pay on your loans from…? Loan from an employer</v>
      </c>
      <c r="C1095" s="96" t="s">
        <v>142</v>
      </c>
      <c r="D1095" s="110" t="s">
        <v>38</v>
      </c>
      <c r="E1095" s="101">
        <v>1</v>
      </c>
      <c r="F1095" s="101">
        <f t="shared" si="243"/>
        <v>1540</v>
      </c>
      <c r="G1095" s="101">
        <f t="shared" si="244"/>
        <v>1540</v>
      </c>
      <c r="H1095" s="10" t="str">
        <f t="shared" si="256"/>
        <v>IF FB16_8=1</v>
      </c>
      <c r="I1095" s="110" t="str">
        <f t="shared" si="257"/>
        <v>FB17_8</v>
      </c>
    </row>
    <row r="1096" spans="1:9" ht="25.5" x14ac:dyDescent="0.25">
      <c r="A1096" s="110" t="s">
        <v>1329</v>
      </c>
      <c r="B1096" s="96" t="str">
        <f>A1096&amp;".Do you know what interest rate or fee you pay on your loans from…? "&amp;Other!AH10</f>
        <v>FB17.9.Do you know what interest rate or fee you pay on your loans from…? Loan from a group that lends to group members and to other with interest</v>
      </c>
      <c r="C1096" s="96" t="s">
        <v>142</v>
      </c>
      <c r="D1096" s="110" t="s">
        <v>38</v>
      </c>
      <c r="E1096" s="101">
        <v>1</v>
      </c>
      <c r="F1096" s="101">
        <f t="shared" si="243"/>
        <v>1541</v>
      </c>
      <c r="G1096" s="101">
        <f t="shared" si="244"/>
        <v>1541</v>
      </c>
      <c r="H1096" s="10" t="str">
        <f t="shared" si="256"/>
        <v>IF FB16_9=1</v>
      </c>
      <c r="I1096" s="110" t="str">
        <f t="shared" si="257"/>
        <v>FB17_9</v>
      </c>
    </row>
    <row r="1097" spans="1:9" ht="25.5" x14ac:dyDescent="0.25">
      <c r="A1097" s="110" t="s">
        <v>1330</v>
      </c>
      <c r="B1097" s="96" t="str">
        <f>A1097&amp;".Do you know what interest rate or fee you pay on your loans from…? "&amp;Other!AH11</f>
        <v>FB17.10.Do you know what interest rate or fee you pay on your loans from…? Loan from family/friends/neighbour</v>
      </c>
      <c r="C1097" s="96" t="s">
        <v>142</v>
      </c>
      <c r="D1097" s="110" t="s">
        <v>38</v>
      </c>
      <c r="E1097" s="101">
        <v>1</v>
      </c>
      <c r="F1097" s="101">
        <f t="shared" si="243"/>
        <v>1542</v>
      </c>
      <c r="G1097" s="101">
        <f t="shared" si="244"/>
        <v>1542</v>
      </c>
      <c r="H1097" s="10" t="str">
        <f t="shared" si="256"/>
        <v>IF FB16_10=1</v>
      </c>
      <c r="I1097" s="110" t="str">
        <f t="shared" ref="I1097:I1101" si="258">LEFT(A1097,4) &amp; "_" &amp;RIGHT(A1097,2)</f>
        <v>FB17_10</v>
      </c>
    </row>
    <row r="1098" spans="1:9" ht="25.5" x14ac:dyDescent="0.25">
      <c r="A1098" s="110" t="s">
        <v>1331</v>
      </c>
      <c r="B1098" s="96" t="str">
        <f>A1098&amp;".Do you know what interest rate or fee you pay on your loans from…? "&amp;Other!AH12</f>
        <v>FB17.11.Do you know what interest rate or fee you pay on your loans from…? Loan from an informal moneylender</v>
      </c>
      <c r="C1098" s="96" t="s">
        <v>142</v>
      </c>
      <c r="D1098" s="110" t="s">
        <v>38</v>
      </c>
      <c r="E1098" s="101">
        <v>1</v>
      </c>
      <c r="F1098" s="101">
        <f t="shared" si="243"/>
        <v>1543</v>
      </c>
      <c r="G1098" s="101">
        <f t="shared" si="244"/>
        <v>1543</v>
      </c>
      <c r="H1098" s="10" t="str">
        <f t="shared" si="256"/>
        <v>IF FB16_11=1</v>
      </c>
      <c r="I1098" s="110" t="str">
        <f t="shared" si="258"/>
        <v>FB17_11</v>
      </c>
    </row>
    <row r="1099" spans="1:9" ht="25.5" x14ac:dyDescent="0.25">
      <c r="A1099" s="110" t="s">
        <v>1332</v>
      </c>
      <c r="B1099" s="96" t="str">
        <f>A1099&amp;".Do you know what interest rate or fee you pay on your loans from…? "&amp;Other!AH13</f>
        <v>FB17.12.Do you know what interest rate or fee you pay on your loans from…? Local shop/supplier that allows you to take goods/services on credit</v>
      </c>
      <c r="C1099" s="96" t="s">
        <v>142</v>
      </c>
      <c r="D1099" s="110" t="s">
        <v>38</v>
      </c>
      <c r="E1099" s="101">
        <v>1</v>
      </c>
      <c r="F1099" s="101">
        <f t="shared" si="243"/>
        <v>1544</v>
      </c>
      <c r="G1099" s="101">
        <f t="shared" si="244"/>
        <v>1544</v>
      </c>
      <c r="H1099" s="10" t="str">
        <f t="shared" si="256"/>
        <v>IF FB16_12=1</v>
      </c>
      <c r="I1099" s="110" t="str">
        <f t="shared" si="258"/>
        <v>FB17_12</v>
      </c>
    </row>
    <row r="1100" spans="1:9" ht="25.5" x14ac:dyDescent="0.25">
      <c r="A1100" s="110" t="s">
        <v>1333</v>
      </c>
      <c r="B1100" s="96" t="str">
        <f>A1100&amp;".Do you know what interest rate or fee you pay on your loans from…? "&amp;Other!AH14</f>
        <v>FB17.13.Do you know what interest rate or fee you pay on your loans from…? Loan/credits from buyer (of your 21harvest, e.g. tobacco, vegetables)</v>
      </c>
      <c r="C1100" s="96" t="s">
        <v>142</v>
      </c>
      <c r="D1100" s="110" t="s">
        <v>38</v>
      </c>
      <c r="E1100" s="101">
        <v>1</v>
      </c>
      <c r="F1100" s="101">
        <f t="shared" si="243"/>
        <v>1545</v>
      </c>
      <c r="G1100" s="101">
        <f t="shared" si="244"/>
        <v>1545</v>
      </c>
      <c r="H1100" s="10" t="str">
        <f t="shared" si="256"/>
        <v>IF FB16_13=1</v>
      </c>
      <c r="I1100" s="110" t="str">
        <f t="shared" si="258"/>
        <v>FB17_13</v>
      </c>
    </row>
    <row r="1101" spans="1:9" ht="25.5" x14ac:dyDescent="0.25">
      <c r="A1101" s="110" t="s">
        <v>1334</v>
      </c>
      <c r="B1101" s="96" t="str">
        <f>A1101&amp;".Do you know what interest rate or fee you pay on your loans from…? "&amp;Other!AH15</f>
        <v>FB17.14.Do you know what interest rate or fee you pay on your loans from…? Layaway purchase/loan</v>
      </c>
      <c r="C1101" s="96" t="s">
        <v>142</v>
      </c>
      <c r="D1101" s="110" t="s">
        <v>38</v>
      </c>
      <c r="E1101" s="101">
        <v>1</v>
      </c>
      <c r="F1101" s="101">
        <f t="shared" si="243"/>
        <v>1546</v>
      </c>
      <c r="G1101" s="101">
        <f t="shared" si="244"/>
        <v>1546</v>
      </c>
      <c r="H1101" s="10" t="str">
        <f t="shared" si="256"/>
        <v>IF FB16_14=1</v>
      </c>
      <c r="I1101" s="110" t="str">
        <f t="shared" si="258"/>
        <v>FB17_14</v>
      </c>
    </row>
    <row r="1102" spans="1:9" ht="25.5" x14ac:dyDescent="0.25">
      <c r="A1102" s="110" t="s">
        <v>1335</v>
      </c>
      <c r="B1102" s="96" t="str">
        <f>A1102&amp;".Do you know what interest rate or fee you pay on your loans from…? "&amp;Other!AH16</f>
        <v>FB17.15.Do you know what interest rate or fee you pay on your loans from…? Unofficial pawnshop</v>
      </c>
      <c r="C1102" s="96" t="s">
        <v>142</v>
      </c>
      <c r="D1102" s="110" t="s">
        <v>38</v>
      </c>
      <c r="E1102" s="101">
        <v>1</v>
      </c>
      <c r="F1102" s="101">
        <f t="shared" ref="F1102:F1103" si="259">G1101+1</f>
        <v>1547</v>
      </c>
      <c r="G1102" s="101">
        <f t="shared" ref="G1102:G1103" si="260">G1101+E1102</f>
        <v>1547</v>
      </c>
      <c r="H1102" s="10" t="str">
        <f t="shared" si="256"/>
        <v>IF FB16_15=1</v>
      </c>
      <c r="I1102" s="110" t="str">
        <f t="shared" ref="I1102:I1103" si="261">LEFT(A1102,4) &amp; "_" &amp;RIGHT(A1102,2)</f>
        <v>FB17_15</v>
      </c>
    </row>
    <row r="1103" spans="1:9" ht="25.5" x14ac:dyDescent="0.25">
      <c r="A1103" s="110" t="s">
        <v>1336</v>
      </c>
      <c r="B1103" s="96" t="str">
        <f>A1103&amp;".Do you know what interest rate or fee you pay on your loans from…? "&amp;Other!AH17</f>
        <v>FB17.96.Do you know what interest rate or fee you pay on your loans from…? Other (Specify)</v>
      </c>
      <c r="C1103" s="96" t="s">
        <v>142</v>
      </c>
      <c r="D1103" s="110" t="s">
        <v>38</v>
      </c>
      <c r="E1103" s="101">
        <v>1</v>
      </c>
      <c r="F1103" s="101">
        <f t="shared" si="259"/>
        <v>1548</v>
      </c>
      <c r="G1103" s="101">
        <f t="shared" si="260"/>
        <v>1548</v>
      </c>
      <c r="H1103" s="10" t="str">
        <f t="shared" si="256"/>
        <v>IF FB16_96=1</v>
      </c>
      <c r="I1103" s="110" t="str">
        <f t="shared" si="261"/>
        <v>FB17_96</v>
      </c>
    </row>
    <row r="1104" spans="1:9" ht="89.25" x14ac:dyDescent="0.25">
      <c r="A1104" s="101" t="s">
        <v>1337</v>
      </c>
      <c r="B1104" s="96" t="str">
        <f>A1104&amp;".Which of the following statements best describes how you usually repay your loans?"</f>
        <v>FB18.Which of the following statements best describes how you usually repay your loans?</v>
      </c>
      <c r="C1104" s="96" t="s">
        <v>1338</v>
      </c>
      <c r="D1104" s="110" t="s">
        <v>38</v>
      </c>
      <c r="E1104" s="101">
        <v>1</v>
      </c>
      <c r="F1104" s="101">
        <f t="shared" si="243"/>
        <v>1549</v>
      </c>
      <c r="G1104" s="101">
        <f t="shared" si="244"/>
        <v>1549</v>
      </c>
      <c r="H1104" s="10" t="s">
        <v>17</v>
      </c>
      <c r="I1104" s="110" t="str">
        <f>LEFT(A1104,4)</f>
        <v>FB18</v>
      </c>
    </row>
    <row r="1105" spans="1:9" ht="25.5" x14ac:dyDescent="0.25">
      <c r="A1105" s="101" t="s">
        <v>1339</v>
      </c>
      <c r="B1105" s="96" t="str">
        <f>A1105&amp;".Which of the following best describes how you spent the money you borrowed last time?"</f>
        <v>FB19.Which of the following best describes how you spent the money you borrowed last time?</v>
      </c>
      <c r="C1105" s="98" t="s">
        <v>1340</v>
      </c>
      <c r="D1105" s="110" t="s">
        <v>38</v>
      </c>
      <c r="E1105" s="101">
        <v>2</v>
      </c>
      <c r="F1105" s="101">
        <f>G1104+1</f>
        <v>1550</v>
      </c>
      <c r="G1105" s="101">
        <f>G1104+E1105</f>
        <v>1551</v>
      </c>
      <c r="H1105" s="10" t="s">
        <v>17</v>
      </c>
      <c r="I1105" s="110" t="str">
        <f>LEFT(A1105,4)</f>
        <v>FB19</v>
      </c>
    </row>
    <row r="1106" spans="1:9" ht="25.5" x14ac:dyDescent="0.25">
      <c r="A1106" s="101" t="s">
        <v>1341</v>
      </c>
      <c r="B1106" s="96" t="str">
        <f>A1106&amp;".Do you currently have any of the following products for your household?"&amp;Other!AI2</f>
        <v>FB19A.1.Do you currently have any of the following products for your household?A loan that came with a new financial account</v>
      </c>
      <c r="C1106" s="96" t="s">
        <v>142</v>
      </c>
      <c r="D1106" s="110" t="s">
        <v>38</v>
      </c>
      <c r="E1106" s="101">
        <v>1</v>
      </c>
      <c r="F1106" s="101">
        <f t="shared" ref="F1106:F1119" si="262">G1105+1</f>
        <v>1552</v>
      </c>
      <c r="G1106" s="101">
        <f t="shared" ref="G1106:G1119" si="263">G1105+E1106</f>
        <v>1552</v>
      </c>
      <c r="H1106" s="10" t="s">
        <v>17</v>
      </c>
      <c r="I1106" s="110" t="str">
        <f>LEFT(A1106,5) &amp; "_" &amp;RIGHT(A1106,1)</f>
        <v>FB19A_1</v>
      </c>
    </row>
    <row r="1107" spans="1:9" ht="25.5" x14ac:dyDescent="0.25">
      <c r="A1107" s="101" t="s">
        <v>1342</v>
      </c>
      <c r="B1107" s="96" t="str">
        <f>A1107&amp;".Do you currently have any of the following products for your household?"&amp;Other!AI3</f>
        <v>FB19A.2.Do you currently have any of the following products for your household?A loan accessed through an existing financial account</v>
      </c>
      <c r="C1107" s="96" t="s">
        <v>142</v>
      </c>
      <c r="D1107" s="110" t="s">
        <v>38</v>
      </c>
      <c r="E1107" s="101">
        <v>1</v>
      </c>
      <c r="F1107" s="101">
        <f t="shared" si="262"/>
        <v>1553</v>
      </c>
      <c r="G1107" s="101">
        <f t="shared" si="263"/>
        <v>1553</v>
      </c>
      <c r="H1107" s="10" t="s">
        <v>17</v>
      </c>
      <c r="I1107" s="110" t="str">
        <f t="shared" ref="I1107:I1116" si="264">LEFT(A1107,5) &amp; "_" &amp;RIGHT(A1107,1)</f>
        <v>FB19A_2</v>
      </c>
    </row>
    <row r="1108" spans="1:9" ht="25.5" x14ac:dyDescent="0.25">
      <c r="A1108" s="101" t="s">
        <v>1343</v>
      </c>
      <c r="B1108" s="96" t="str">
        <f>A1108&amp;".Do you currently have any of the following products for your household?"&amp;Other!AI4</f>
        <v>FB19A.3.Do you currently have any of the following products for your household?A mobile money account that came with a smartphone</v>
      </c>
      <c r="C1108" s="96" t="s">
        <v>142</v>
      </c>
      <c r="D1108" s="110" t="s">
        <v>38</v>
      </c>
      <c r="E1108" s="101">
        <v>1</v>
      </c>
      <c r="F1108" s="101">
        <f t="shared" si="262"/>
        <v>1554</v>
      </c>
      <c r="G1108" s="101">
        <f t="shared" si="263"/>
        <v>1554</v>
      </c>
      <c r="H1108" s="10" t="s">
        <v>17</v>
      </c>
      <c r="I1108" s="110" t="str">
        <f t="shared" si="264"/>
        <v>FB19A_3</v>
      </c>
    </row>
    <row r="1109" spans="1:9" ht="25.5" x14ac:dyDescent="0.25">
      <c r="A1109" s="101" t="s">
        <v>1344</v>
      </c>
      <c r="B1109" s="96" t="str">
        <f>A1109&amp;".Do you currently have any of the following products for your household?"&amp;Other!AI5</f>
        <v>FB19A.4.Do you currently have any of the following products for your household?A credit plan for school fees</v>
      </c>
      <c r="C1109" s="96" t="s">
        <v>142</v>
      </c>
      <c r="D1109" s="110" t="s">
        <v>38</v>
      </c>
      <c r="E1109" s="101">
        <v>1</v>
      </c>
      <c r="F1109" s="101">
        <f t="shared" si="262"/>
        <v>1555</v>
      </c>
      <c r="G1109" s="101">
        <f t="shared" si="263"/>
        <v>1555</v>
      </c>
      <c r="H1109" s="10" t="s">
        <v>17</v>
      </c>
      <c r="I1109" s="110" t="str">
        <f t="shared" si="264"/>
        <v>FB19A_4</v>
      </c>
    </row>
    <row r="1110" spans="1:9" ht="25.5" x14ac:dyDescent="0.25">
      <c r="A1110" s="101" t="s">
        <v>1345</v>
      </c>
      <c r="B1110" s="96" t="str">
        <f>A1110&amp;".Do you currently have any of the following products for your household?"&amp;Other!AI6</f>
        <v>FB19A.5.Do you currently have any of the following products for your household?A goal savings plan or contractual savings plan for school fees</v>
      </c>
      <c r="C1110" s="96" t="s">
        <v>142</v>
      </c>
      <c r="D1110" s="110" t="s">
        <v>38</v>
      </c>
      <c r="E1110" s="101">
        <v>1</v>
      </c>
      <c r="F1110" s="101">
        <f t="shared" si="262"/>
        <v>1556</v>
      </c>
      <c r="G1110" s="101">
        <f t="shared" si="263"/>
        <v>1556</v>
      </c>
      <c r="H1110" s="10" t="s">
        <v>17</v>
      </c>
      <c r="I1110" s="110" t="str">
        <f t="shared" si="264"/>
        <v>FB19A_5</v>
      </c>
    </row>
    <row r="1111" spans="1:9" ht="25.5" x14ac:dyDescent="0.25">
      <c r="A1111" s="101" t="s">
        <v>1346</v>
      </c>
      <c r="B1111" s="96" t="str">
        <f>A1111&amp;".Do you currently have any of the following products for your household?"&amp;Other!AI7</f>
        <v>FB19A.96.Do you currently have any of the following products for your household?Other (Specify)</v>
      </c>
      <c r="C1111" s="96" t="s">
        <v>142</v>
      </c>
      <c r="D1111" s="110" t="s">
        <v>38</v>
      </c>
      <c r="E1111" s="101">
        <v>1</v>
      </c>
      <c r="F1111" s="101">
        <f t="shared" si="262"/>
        <v>1557</v>
      </c>
      <c r="G1111" s="101">
        <f t="shared" si="263"/>
        <v>1557</v>
      </c>
      <c r="H1111" s="10" t="s">
        <v>17</v>
      </c>
      <c r="I1111" s="110" t="str">
        <f>LEFT(A1111,5) &amp; "_" &amp;RIGHT(A1111,2)</f>
        <v>FB19A_96</v>
      </c>
    </row>
    <row r="1112" spans="1:9" ht="38.25" x14ac:dyDescent="0.25">
      <c r="A1112" s="101" t="s">
        <v>1347</v>
      </c>
      <c r="B1112" s="96" t="str">
        <f>A1112&amp;".Do you want to have any of the following products for your household? "&amp;Other!AI2</f>
        <v>FB19B.1.Do you want to have any of the following products for your household? A loan that came with a new financial account</v>
      </c>
      <c r="C1112" s="96" t="s">
        <v>442</v>
      </c>
      <c r="D1112" s="110" t="s">
        <v>38</v>
      </c>
      <c r="E1112" s="101">
        <v>2</v>
      </c>
      <c r="F1112" s="101">
        <f t="shared" si="262"/>
        <v>1558</v>
      </c>
      <c r="G1112" s="101">
        <f t="shared" si="263"/>
        <v>1559</v>
      </c>
      <c r="H1112" s="10" t="str">
        <f t="shared" ref="H1112:H1117" si="265">"IF "&amp;I1106&amp;"=2"</f>
        <v>IF FB19A_1=2</v>
      </c>
      <c r="I1112" s="110" t="str">
        <f t="shared" si="264"/>
        <v>FB19B_1</v>
      </c>
    </row>
    <row r="1113" spans="1:9" ht="38.25" x14ac:dyDescent="0.25">
      <c r="A1113" s="101" t="s">
        <v>1348</v>
      </c>
      <c r="B1113" s="96" t="str">
        <f>A1113&amp;".Do you want to have any of the following products for your household? "&amp;Other!AI3</f>
        <v>FB19B.2.Do you want to have any of the following products for your household? A loan accessed through an existing financial account</v>
      </c>
      <c r="C1113" s="96" t="s">
        <v>442</v>
      </c>
      <c r="D1113" s="110" t="s">
        <v>38</v>
      </c>
      <c r="E1113" s="101">
        <v>2</v>
      </c>
      <c r="F1113" s="101">
        <f t="shared" si="262"/>
        <v>1560</v>
      </c>
      <c r="G1113" s="101">
        <f t="shared" si="263"/>
        <v>1561</v>
      </c>
      <c r="H1113" s="10" t="str">
        <f t="shared" si="265"/>
        <v>IF FB19A_2=2</v>
      </c>
      <c r="I1113" s="110" t="str">
        <f t="shared" si="264"/>
        <v>FB19B_2</v>
      </c>
    </row>
    <row r="1114" spans="1:9" ht="38.25" x14ac:dyDescent="0.25">
      <c r="A1114" s="110" t="s">
        <v>1349</v>
      </c>
      <c r="B1114" s="96" t="str">
        <f>A1114&amp;".Do you want to have any of the following products for your household? "&amp;Other!AI4</f>
        <v>FB19B.3.Do you want to have any of the following products for your household? A mobile money account that came with a smartphone</v>
      </c>
      <c r="C1114" s="96" t="s">
        <v>442</v>
      </c>
      <c r="D1114" s="110" t="s">
        <v>38</v>
      </c>
      <c r="E1114" s="101">
        <v>2</v>
      </c>
      <c r="F1114" s="101">
        <f t="shared" si="262"/>
        <v>1562</v>
      </c>
      <c r="G1114" s="101">
        <f t="shared" si="263"/>
        <v>1563</v>
      </c>
      <c r="H1114" s="10" t="str">
        <f t="shared" si="265"/>
        <v>IF FB19A_3=2</v>
      </c>
      <c r="I1114" s="110" t="str">
        <f t="shared" si="264"/>
        <v>FB19B_3</v>
      </c>
    </row>
    <row r="1115" spans="1:9" ht="38.25" x14ac:dyDescent="0.25">
      <c r="A1115" s="110" t="s">
        <v>1350</v>
      </c>
      <c r="B1115" s="96" t="str">
        <f>A1115&amp;".Do you want to have any of the following products for your household? "&amp;Other!AI5</f>
        <v>FB19B.4.Do you want to have any of the following products for your household? A credit plan for school fees</v>
      </c>
      <c r="C1115" s="96" t="s">
        <v>442</v>
      </c>
      <c r="D1115" s="110" t="s">
        <v>38</v>
      </c>
      <c r="E1115" s="101">
        <v>2</v>
      </c>
      <c r="F1115" s="101">
        <f t="shared" si="262"/>
        <v>1564</v>
      </c>
      <c r="G1115" s="101">
        <f t="shared" si="263"/>
        <v>1565</v>
      </c>
      <c r="H1115" s="10" t="str">
        <f t="shared" si="265"/>
        <v>IF FB19A_4=2</v>
      </c>
      <c r="I1115" s="110" t="str">
        <f t="shared" si="264"/>
        <v>FB19B_4</v>
      </c>
    </row>
    <row r="1116" spans="1:9" ht="38.25" x14ac:dyDescent="0.25">
      <c r="A1116" s="110" t="s">
        <v>1351</v>
      </c>
      <c r="B1116" s="96" t="str">
        <f>A1116&amp;".Do you want to have any of the following products for your household? "&amp;Other!AI6</f>
        <v>FB19B.5.Do you want to have any of the following products for your household? A goal savings plan or contractual savings plan for school fees</v>
      </c>
      <c r="C1116" s="96" t="s">
        <v>442</v>
      </c>
      <c r="D1116" s="110" t="s">
        <v>38</v>
      </c>
      <c r="E1116" s="101">
        <v>2</v>
      </c>
      <c r="F1116" s="101">
        <f t="shared" si="262"/>
        <v>1566</v>
      </c>
      <c r="G1116" s="101">
        <f t="shared" si="263"/>
        <v>1567</v>
      </c>
      <c r="H1116" s="10" t="str">
        <f t="shared" si="265"/>
        <v>IF FB19A_5=2</v>
      </c>
      <c r="I1116" s="110" t="str">
        <f t="shared" si="264"/>
        <v>FB19B_5</v>
      </c>
    </row>
    <row r="1117" spans="1:9" ht="42.75" customHeight="1" x14ac:dyDescent="0.25">
      <c r="A1117" s="110" t="s">
        <v>1352</v>
      </c>
      <c r="B1117" s="96" t="str">
        <f>A1117&amp;".Do you want to have any of the following products for your household? "&amp;Other!AI7</f>
        <v>FB19B.96.Do you want to have any of the following products for your household? Other (Specify)</v>
      </c>
      <c r="C1117" s="96" t="s">
        <v>442</v>
      </c>
      <c r="D1117" s="110" t="s">
        <v>38</v>
      </c>
      <c r="E1117" s="101">
        <v>2</v>
      </c>
      <c r="F1117" s="101">
        <f t="shared" si="262"/>
        <v>1568</v>
      </c>
      <c r="G1117" s="101">
        <f t="shared" si="263"/>
        <v>1569</v>
      </c>
      <c r="H1117" s="10" t="str">
        <f t="shared" si="265"/>
        <v>IF FB19A_96=2</v>
      </c>
      <c r="I1117" s="110" t="str">
        <f>LEFT(A1117,5) &amp; "_" &amp;RIGHT(A1117,2)</f>
        <v>FB19B_96</v>
      </c>
    </row>
    <row r="1118" spans="1:9" x14ac:dyDescent="0.25">
      <c r="A1118" s="110" t="s">
        <v>1353</v>
      </c>
      <c r="B1118" s="96" t="str">
        <f>A1118&amp;".What is the main reason you do not borrow from a bank?"</f>
        <v>FB20.What is the main reason you do not borrow from a bank?</v>
      </c>
      <c r="C1118" s="98" t="s">
        <v>1354</v>
      </c>
      <c r="D1118" s="110" t="s">
        <v>38</v>
      </c>
      <c r="E1118" s="101">
        <v>2</v>
      </c>
      <c r="F1118" s="101">
        <f t="shared" si="262"/>
        <v>1570</v>
      </c>
      <c r="G1118" s="101">
        <f t="shared" si="263"/>
        <v>1571</v>
      </c>
      <c r="H1118" s="10" t="s">
        <v>1355</v>
      </c>
      <c r="I1118" s="110" t="str">
        <f>LEFT(A1118,4)</f>
        <v>FB20</v>
      </c>
    </row>
    <row r="1119" spans="1:9" x14ac:dyDescent="0.25">
      <c r="A1119" s="110" t="s">
        <v>1356</v>
      </c>
      <c r="B1119" s="96" t="str">
        <f>A1119&amp;".What is the main reason you do not borrow from a mobile money provider?"</f>
        <v>FB21.What is the main reason you do not borrow from a mobile money provider?</v>
      </c>
      <c r="C1119" s="98" t="s">
        <v>1354</v>
      </c>
      <c r="D1119" s="110" t="s">
        <v>38</v>
      </c>
      <c r="E1119" s="101">
        <v>2</v>
      </c>
      <c r="F1119" s="101">
        <f t="shared" si="262"/>
        <v>1572</v>
      </c>
      <c r="G1119" s="101">
        <f t="shared" si="263"/>
        <v>1573</v>
      </c>
      <c r="H1119" s="96" t="s">
        <v>1357</v>
      </c>
      <c r="I1119" s="110" t="str">
        <f>LEFT(A1119,4)</f>
        <v>FB21</v>
      </c>
    </row>
    <row r="1120" spans="1:9" x14ac:dyDescent="0.25">
      <c r="A1120" s="121" t="s">
        <v>1358</v>
      </c>
      <c r="B1120" s="122" t="s">
        <v>451</v>
      </c>
      <c r="C1120" s="122" t="s">
        <v>451</v>
      </c>
      <c r="D1120" s="122" t="s">
        <v>451</v>
      </c>
      <c r="E1120" s="122" t="s">
        <v>451</v>
      </c>
      <c r="F1120" s="122" t="s">
        <v>451</v>
      </c>
      <c r="G1120" s="122" t="s">
        <v>451</v>
      </c>
      <c r="H1120" s="122" t="s">
        <v>451</v>
      </c>
      <c r="I1120" s="123" t="s">
        <v>451</v>
      </c>
    </row>
    <row r="1121" spans="1:9" x14ac:dyDescent="0.25">
      <c r="A1121" s="51" t="s">
        <v>4</v>
      </c>
      <c r="B1121" s="52" t="s">
        <v>5</v>
      </c>
      <c r="C1121" s="52" t="s">
        <v>6</v>
      </c>
      <c r="D1121" s="51" t="s">
        <v>7</v>
      </c>
      <c r="E1121" s="52" t="s">
        <v>8</v>
      </c>
      <c r="F1121" s="52" t="s">
        <v>9</v>
      </c>
      <c r="G1121" s="52" t="s">
        <v>10</v>
      </c>
      <c r="H1121" s="52" t="s">
        <v>11</v>
      </c>
      <c r="I1121" s="51" t="s">
        <v>12</v>
      </c>
    </row>
    <row r="1122" spans="1:9" ht="25.5" x14ac:dyDescent="0.25">
      <c r="A1122" s="101" t="s">
        <v>1359</v>
      </c>
      <c r="B1122" s="96" t="str">
        <f>A1122&amp;".Do you save with any of the following? "&amp;Other!AJ2</f>
        <v>FB22.1.Do you save with any of the following? Bank</v>
      </c>
      <c r="C1122" s="96" t="s">
        <v>142</v>
      </c>
      <c r="D1122" s="110" t="s">
        <v>38</v>
      </c>
      <c r="E1122" s="101">
        <v>1</v>
      </c>
      <c r="F1122" s="101">
        <f>G1119+1</f>
        <v>1574</v>
      </c>
      <c r="G1122" s="101">
        <f>G1119+E1122</f>
        <v>1574</v>
      </c>
      <c r="H1122" s="10" t="s">
        <v>17</v>
      </c>
      <c r="I1122" s="110" t="str">
        <f t="shared" ref="I1122:I1130" si="266">LEFT(A1122,4) &amp; "_" &amp;RIGHT(A1122,1)</f>
        <v>FB22_1</v>
      </c>
    </row>
    <row r="1123" spans="1:9" ht="25.5" x14ac:dyDescent="0.25">
      <c r="A1123" s="101" t="s">
        <v>1360</v>
      </c>
      <c r="B1123" s="96" t="str">
        <f>A1123&amp;".Do you save with any of the following? "&amp;Other!AJ3</f>
        <v>FB22.2.Do you save with any of the following? Mobile money account or mobile money product (e.g., T-Cash, E-Cash, etc.)</v>
      </c>
      <c r="C1123" s="96" t="s">
        <v>142</v>
      </c>
      <c r="D1123" s="110" t="s">
        <v>38</v>
      </c>
      <c r="E1123" s="101">
        <v>1</v>
      </c>
      <c r="F1123" s="101">
        <f>G1122+1</f>
        <v>1575</v>
      </c>
      <c r="G1123" s="101">
        <f>G1122+E1123</f>
        <v>1575</v>
      </c>
      <c r="H1123" s="10" t="s">
        <v>17</v>
      </c>
      <c r="I1123" s="110" t="str">
        <f t="shared" si="266"/>
        <v>FB22_2</v>
      </c>
    </row>
    <row r="1124" spans="1:9" ht="38.25" x14ac:dyDescent="0.25">
      <c r="A1124" s="101" t="s">
        <v>1361</v>
      </c>
      <c r="B1124" s="96" t="str">
        <f>A1124&amp;".Do you save with any of the following? "&amp;Other!AJ4</f>
        <v>FB22.3.Do you save with any of the following? Savings account at KOPERASI (organization which requires you to be a member e.g. agricultural co-op or workplace co-op)</v>
      </c>
      <c r="C1124" s="96" t="s">
        <v>142</v>
      </c>
      <c r="D1124" s="110" t="s">
        <v>38</v>
      </c>
      <c r="E1124" s="101">
        <v>1</v>
      </c>
      <c r="F1124" s="101">
        <f t="shared" ref="F1124:F1148" si="267">G1123+1</f>
        <v>1576</v>
      </c>
      <c r="G1124" s="101">
        <f t="shared" ref="G1124:G1148" si="268">G1123+E1124</f>
        <v>1576</v>
      </c>
      <c r="H1124" s="10" t="s">
        <v>17</v>
      </c>
      <c r="I1124" s="110" t="str">
        <f t="shared" si="266"/>
        <v>FB22_3</v>
      </c>
    </row>
    <row r="1125" spans="1:9" ht="25.5" x14ac:dyDescent="0.25">
      <c r="A1125" s="101" t="s">
        <v>1362</v>
      </c>
      <c r="B1125" s="96" t="str">
        <f>A1125&amp;".Do you save with any of the following? "&amp;Other!AJ5</f>
        <v>FB22.4.Do you save with any of the following? Savings with an informal group that lends to its members or to other people with interest</v>
      </c>
      <c r="C1125" s="96" t="s">
        <v>142</v>
      </c>
      <c r="D1125" s="110" t="s">
        <v>38</v>
      </c>
      <c r="E1125" s="101">
        <v>1</v>
      </c>
      <c r="F1125" s="101">
        <f t="shared" si="267"/>
        <v>1577</v>
      </c>
      <c r="G1125" s="101">
        <f t="shared" si="268"/>
        <v>1577</v>
      </c>
      <c r="H1125" s="10" t="s">
        <v>17</v>
      </c>
      <c r="I1125" s="110" t="str">
        <f t="shared" si="266"/>
        <v>FB22_4</v>
      </c>
    </row>
    <row r="1126" spans="1:9" ht="25.5" x14ac:dyDescent="0.25">
      <c r="A1126" s="101" t="s">
        <v>1363</v>
      </c>
      <c r="B1126" s="96" t="str">
        <f>A1126&amp;".Do you save with any of the following? "&amp;Other!AJ6</f>
        <v>FB22.5.Do you save with any of the following? Savings through buying something (agricultural inputs, livestock, other property)</v>
      </c>
      <c r="C1126" s="96" t="s">
        <v>142</v>
      </c>
      <c r="D1126" s="110" t="s">
        <v>38</v>
      </c>
      <c r="E1126" s="101">
        <v>1</v>
      </c>
      <c r="F1126" s="101">
        <f t="shared" si="267"/>
        <v>1578</v>
      </c>
      <c r="G1126" s="101">
        <f t="shared" si="268"/>
        <v>1578</v>
      </c>
      <c r="H1126" s="10" t="s">
        <v>17</v>
      </c>
      <c r="I1126" s="110" t="str">
        <f t="shared" si="266"/>
        <v>FB22_5</v>
      </c>
    </row>
    <row r="1127" spans="1:9" ht="25.5" x14ac:dyDescent="0.25">
      <c r="A1127" s="101" t="s">
        <v>1364</v>
      </c>
      <c r="B1127" s="96" t="str">
        <f>A1127&amp;".Do you save with any of the following? "&amp;Other!AJ7</f>
        <v>FB22.6.Do you save with any of the following? Digital/recharge card</v>
      </c>
      <c r="C1127" s="96" t="s">
        <v>142</v>
      </c>
      <c r="D1127" s="110" t="s">
        <v>38</v>
      </c>
      <c r="E1127" s="101">
        <v>1</v>
      </c>
      <c r="F1127" s="101">
        <f t="shared" si="267"/>
        <v>1579</v>
      </c>
      <c r="G1127" s="101">
        <f t="shared" si="268"/>
        <v>1579</v>
      </c>
      <c r="H1127" s="10" t="s">
        <v>17</v>
      </c>
      <c r="I1127" s="110" t="str">
        <f t="shared" si="266"/>
        <v>FB22_6</v>
      </c>
    </row>
    <row r="1128" spans="1:9" ht="25.5" x14ac:dyDescent="0.25">
      <c r="A1128" s="101" t="s">
        <v>1365</v>
      </c>
      <c r="B1128" s="96" t="str">
        <f>A1128&amp;".Do you save with any of the following? "&amp;Other!AJ8</f>
        <v>FB22.7.Do you save with any of the following? Other people, e.g., family, friends, neighbors, shopkeepers, money guards, etc.</v>
      </c>
      <c r="C1128" s="96" t="s">
        <v>142</v>
      </c>
      <c r="D1128" s="110" t="s">
        <v>38</v>
      </c>
      <c r="E1128" s="101">
        <v>1</v>
      </c>
      <c r="F1128" s="101">
        <f t="shared" si="267"/>
        <v>1580</v>
      </c>
      <c r="G1128" s="101">
        <f t="shared" si="268"/>
        <v>1580</v>
      </c>
      <c r="H1128" s="10" t="s">
        <v>17</v>
      </c>
      <c r="I1128" s="110" t="str">
        <f t="shared" si="266"/>
        <v>FB22_7</v>
      </c>
    </row>
    <row r="1129" spans="1:9" ht="25.5" x14ac:dyDescent="0.25">
      <c r="A1129" s="101" t="s">
        <v>1366</v>
      </c>
      <c r="B1129" s="96" t="str">
        <f>A1129&amp;".Do you save with any of the following? "&amp;Other!AJ9</f>
        <v>FB22.8.Do you save with any of the following? In a safe place at home or on yourself in cash </v>
      </c>
      <c r="C1129" s="96" t="s">
        <v>142</v>
      </c>
      <c r="D1129" s="110" t="s">
        <v>38</v>
      </c>
      <c r="E1129" s="101">
        <v>1</v>
      </c>
      <c r="F1129" s="101">
        <f t="shared" si="267"/>
        <v>1581</v>
      </c>
      <c r="G1129" s="101">
        <f t="shared" si="268"/>
        <v>1581</v>
      </c>
      <c r="H1129" s="10" t="s">
        <v>17</v>
      </c>
      <c r="I1129" s="110" t="str">
        <f t="shared" si="266"/>
        <v>FB22_8</v>
      </c>
    </row>
    <row r="1130" spans="1:9" ht="25.5" x14ac:dyDescent="0.25">
      <c r="A1130" s="101" t="s">
        <v>1367</v>
      </c>
      <c r="B1130" s="96" t="str">
        <f>A1130&amp;".Do you save with any of the following? "&amp;Other!AJ10</f>
        <v>FB22.9.Do you save with any of the following? In-kind assets, such as gold</v>
      </c>
      <c r="C1130" s="96" t="s">
        <v>142</v>
      </c>
      <c r="D1130" s="110" t="s">
        <v>38</v>
      </c>
      <c r="E1130" s="101">
        <v>1</v>
      </c>
      <c r="F1130" s="101">
        <f t="shared" si="267"/>
        <v>1582</v>
      </c>
      <c r="G1130" s="101">
        <f t="shared" si="268"/>
        <v>1582</v>
      </c>
      <c r="H1130" s="10" t="s">
        <v>17</v>
      </c>
      <c r="I1130" s="110" t="str">
        <f t="shared" si="266"/>
        <v>FB22_9</v>
      </c>
    </row>
    <row r="1131" spans="1:9" ht="25.5" x14ac:dyDescent="0.25">
      <c r="A1131" s="101" t="s">
        <v>1368</v>
      </c>
      <c r="B1131" s="96" t="str">
        <f>A1131&amp;".Do you save with any of the following? "&amp;Other!AJ11</f>
        <v>FB22.96.Do you save with any of the following? Other (Specify)</v>
      </c>
      <c r="C1131" s="96" t="s">
        <v>142</v>
      </c>
      <c r="D1131" s="110" t="s">
        <v>38</v>
      </c>
      <c r="E1131" s="101">
        <v>1</v>
      </c>
      <c r="F1131" s="101">
        <f t="shared" ref="F1131" si="269">G1130+1</f>
        <v>1583</v>
      </c>
      <c r="G1131" s="101">
        <f t="shared" ref="G1131" si="270">G1130+E1131</f>
        <v>1583</v>
      </c>
      <c r="H1131" s="10" t="s">
        <v>17</v>
      </c>
      <c r="I1131" s="110" t="str">
        <f>LEFT(A1131,4) &amp; "_" &amp;RIGHT(A1131,2)</f>
        <v>FB22_96</v>
      </c>
    </row>
    <row r="1132" spans="1:9" ht="25.5" x14ac:dyDescent="0.25">
      <c r="A1132" s="101" t="s">
        <v>1369</v>
      </c>
      <c r="B1132" s="96" t="str">
        <f>A1132&amp;".Do you know what interest rate you earn on your savings from…? "&amp;Other!AJ2</f>
        <v>FB23.1.Do you know what interest rate you earn on your savings from…? Bank</v>
      </c>
      <c r="C1132" s="96" t="s">
        <v>142</v>
      </c>
      <c r="D1132" s="110" t="s">
        <v>38</v>
      </c>
      <c r="E1132" s="101">
        <v>1</v>
      </c>
      <c r="F1132" s="101">
        <f t="shared" si="267"/>
        <v>1584</v>
      </c>
      <c r="G1132" s="101">
        <f t="shared" si="268"/>
        <v>1584</v>
      </c>
      <c r="H1132" s="10" t="str">
        <f t="shared" ref="H1132:H1135" si="271">"IF "&amp;I1122&amp;"=1"</f>
        <v>IF FB22_1=1</v>
      </c>
      <c r="I1132" s="110" t="str">
        <f t="shared" ref="I1132:I1136" si="272">LEFT(A1132,4) &amp; "_" &amp;RIGHT(A1132,1)</f>
        <v>FB23_1</v>
      </c>
    </row>
    <row r="1133" spans="1:9" ht="25.5" x14ac:dyDescent="0.25">
      <c r="A1133" s="101" t="s">
        <v>1370</v>
      </c>
      <c r="B1133" s="96" t="str">
        <f>A1133&amp;".Do you know what interest rate you earn on your savings from…? "&amp;Other!AJ3</f>
        <v>FB23.2.Do you know what interest rate you earn on your savings from…? Mobile money account or mobile money product (e.g., T-Cash, E-Cash, etc.)</v>
      </c>
      <c r="C1133" s="96" t="s">
        <v>142</v>
      </c>
      <c r="D1133" s="110" t="s">
        <v>38</v>
      </c>
      <c r="E1133" s="101">
        <v>1</v>
      </c>
      <c r="F1133" s="101">
        <f t="shared" si="267"/>
        <v>1585</v>
      </c>
      <c r="G1133" s="101">
        <f t="shared" si="268"/>
        <v>1585</v>
      </c>
      <c r="H1133" s="10" t="str">
        <f t="shared" si="271"/>
        <v>IF FB22_2=1</v>
      </c>
      <c r="I1133" s="110" t="str">
        <f t="shared" si="272"/>
        <v>FB23_2</v>
      </c>
    </row>
    <row r="1134" spans="1:9" ht="45.75" customHeight="1" x14ac:dyDescent="0.25">
      <c r="A1134" s="110" t="s">
        <v>1371</v>
      </c>
      <c r="B1134" s="96" t="str">
        <f>A1134&amp;".Do you know what interest rate you earn on your savings from…? "&amp;Other!AJ4</f>
        <v>FB23.3.Do you know what interest rate you earn on your savings from…? Savings account at KOPERASI (organization which requires you to be a member e.g. agricultural co-op or workplace co-op)</v>
      </c>
      <c r="C1134" s="96" t="s">
        <v>142</v>
      </c>
      <c r="D1134" s="110" t="s">
        <v>38</v>
      </c>
      <c r="E1134" s="101">
        <v>1</v>
      </c>
      <c r="F1134" s="101">
        <f t="shared" si="267"/>
        <v>1586</v>
      </c>
      <c r="G1134" s="101">
        <f t="shared" si="268"/>
        <v>1586</v>
      </c>
      <c r="H1134" s="10" t="str">
        <f t="shared" si="271"/>
        <v>IF FB22_3=1</v>
      </c>
      <c r="I1134" s="110" t="str">
        <f t="shared" si="272"/>
        <v>FB23_3</v>
      </c>
    </row>
    <row r="1135" spans="1:9" ht="25.5" x14ac:dyDescent="0.25">
      <c r="A1135" s="110" t="s">
        <v>1372</v>
      </c>
      <c r="B1135" s="96" t="str">
        <f>A1135&amp;".Do you know what interest rate you earn on your savings from…? "&amp;Other!AJ5</f>
        <v>FB23.4.Do you know what interest rate you earn on your savings from…? Savings with an informal group that lends to its members or to other people with interest</v>
      </c>
      <c r="C1135" s="96" t="s">
        <v>142</v>
      </c>
      <c r="D1135" s="110" t="s">
        <v>38</v>
      </c>
      <c r="E1135" s="101">
        <v>1</v>
      </c>
      <c r="F1135" s="101">
        <f t="shared" ref="F1135:F1138" si="273">G1134+1</f>
        <v>1587</v>
      </c>
      <c r="G1135" s="101">
        <f t="shared" ref="G1135:G1138" si="274">G1134+E1135</f>
        <v>1587</v>
      </c>
      <c r="H1135" s="10" t="str">
        <f t="shared" si="271"/>
        <v>IF FB22_4=1</v>
      </c>
      <c r="I1135" s="110" t="str">
        <f t="shared" si="272"/>
        <v>FB23_4</v>
      </c>
    </row>
    <row r="1136" spans="1:9" ht="25.5" x14ac:dyDescent="0.25">
      <c r="A1136" s="110" t="s">
        <v>1373</v>
      </c>
      <c r="B1136" s="96" t="str">
        <f>A1136&amp;".Do you know what interest rate you earn on your savings from…? "&amp;Other!AJ8</f>
        <v>FB23.7.Do you know what interest rate you earn on your savings from…? Other people, e.g., family, friends, neighbors, shopkeepers, money guards, etc.</v>
      </c>
      <c r="C1136" s="96" t="s">
        <v>142</v>
      </c>
      <c r="D1136" s="110" t="s">
        <v>38</v>
      </c>
      <c r="E1136" s="101">
        <v>1</v>
      </c>
      <c r="F1136" s="101">
        <f t="shared" si="273"/>
        <v>1588</v>
      </c>
      <c r="G1136" s="101">
        <f t="shared" si="274"/>
        <v>1588</v>
      </c>
      <c r="H1136" s="10" t="str">
        <f>"IF "&amp;I1128&amp;"=1"</f>
        <v>IF FB22_7=1</v>
      </c>
      <c r="I1136" s="110" t="str">
        <f t="shared" si="272"/>
        <v>FB23_7</v>
      </c>
    </row>
    <row r="1137" spans="1:9" ht="25.5" x14ac:dyDescent="0.25">
      <c r="A1137" s="110" t="s">
        <v>1374</v>
      </c>
      <c r="B1137" s="96" t="str">
        <f>A1137&amp;".Do you know what interest rate you earn on your savings from…? "&amp;Other!AJ11</f>
        <v>FB23.96.Do you know what interest rate you earn on your savings from…? Other (Specify)</v>
      </c>
      <c r="C1137" s="96" t="s">
        <v>142</v>
      </c>
      <c r="D1137" s="110" t="s">
        <v>38</v>
      </c>
      <c r="E1137" s="101">
        <v>1</v>
      </c>
      <c r="F1137" s="101">
        <f t="shared" si="273"/>
        <v>1589</v>
      </c>
      <c r="G1137" s="101">
        <f t="shared" si="274"/>
        <v>1589</v>
      </c>
      <c r="H1137" s="10" t="str">
        <f>"IF "&amp;I1131&amp;"=1"</f>
        <v>IF FB22_96=1</v>
      </c>
      <c r="I1137" s="110" t="str">
        <f>LEFT(A1137,4) &amp; "_" &amp;RIGHT(A1137,2)</f>
        <v>FB23_96</v>
      </c>
    </row>
    <row r="1138" spans="1:9" x14ac:dyDescent="0.25">
      <c r="A1138" s="110" t="s">
        <v>1375</v>
      </c>
      <c r="B1138" s="96" t="str">
        <f>A1138&amp;".What is the main reason you do not save at a bank?"</f>
        <v>FB24.What is the main reason you do not save at a bank?</v>
      </c>
      <c r="C1138" s="98" t="s">
        <v>1376</v>
      </c>
      <c r="D1138" s="110" t="s">
        <v>38</v>
      </c>
      <c r="E1138" s="101">
        <v>2</v>
      </c>
      <c r="F1138" s="101">
        <f t="shared" si="273"/>
        <v>1590</v>
      </c>
      <c r="G1138" s="101">
        <f t="shared" si="274"/>
        <v>1591</v>
      </c>
      <c r="H1138" s="96" t="s">
        <v>1377</v>
      </c>
      <c r="I1138" s="110" t="str">
        <f>A1138</f>
        <v>FB24</v>
      </c>
    </row>
    <row r="1139" spans="1:9" x14ac:dyDescent="0.25">
      <c r="A1139" s="110" t="s">
        <v>1378</v>
      </c>
      <c r="B1139" s="96" t="str">
        <f>A1139&amp;".What is the main reason you do not save with mobile money?"</f>
        <v>FB25.What is the main reason you do not save with mobile money?</v>
      </c>
      <c r="C1139" s="98" t="s">
        <v>1376</v>
      </c>
      <c r="D1139" s="110" t="s">
        <v>38</v>
      </c>
      <c r="E1139" s="101">
        <v>2</v>
      </c>
      <c r="F1139" s="101">
        <f>G1138+1</f>
        <v>1592</v>
      </c>
      <c r="G1139" s="101">
        <f>G1138+E1139</f>
        <v>1593</v>
      </c>
      <c r="H1139" s="96" t="s">
        <v>1379</v>
      </c>
      <c r="I1139" s="110" t="str">
        <f>A1139</f>
        <v>FB25</v>
      </c>
    </row>
    <row r="1140" spans="1:9" ht="51" x14ac:dyDescent="0.25">
      <c r="A1140" s="110" t="s">
        <v>1380</v>
      </c>
      <c r="B1140" s="96" t="str">
        <f>A1140&amp;".Do you save for any of the following purposes? "&amp;Other!AK2</f>
        <v>FB26.1.Do you save for any of the following purposes? Start/expand your own business</v>
      </c>
      <c r="C1140" s="96" t="s">
        <v>142</v>
      </c>
      <c r="D1140" s="110" t="s">
        <v>38</v>
      </c>
      <c r="E1140" s="101">
        <v>1</v>
      </c>
      <c r="F1140" s="101">
        <f t="shared" si="267"/>
        <v>1594</v>
      </c>
      <c r="G1140" s="101">
        <f t="shared" si="268"/>
        <v>1594</v>
      </c>
      <c r="H1140" s="96" t="s">
        <v>1381</v>
      </c>
      <c r="I1140" s="110" t="str">
        <f t="shared" ref="I1140:I1148" si="275">LEFT(A1140,4) &amp; "_" &amp;RIGHT(A1140,1)</f>
        <v>FB26_1</v>
      </c>
    </row>
    <row r="1141" spans="1:9" ht="51" x14ac:dyDescent="0.25">
      <c r="A1141" s="110" t="s">
        <v>1382</v>
      </c>
      <c r="B1141" s="96" t="str">
        <f>A1141&amp;".Do you save for any of the following purposes? "&amp;Other!AK3</f>
        <v>FB26.2.Do you save for any of the following purposes? Education for yourself</v>
      </c>
      <c r="C1141" s="96" t="s">
        <v>142</v>
      </c>
      <c r="D1141" s="110" t="s">
        <v>38</v>
      </c>
      <c r="E1141" s="101">
        <v>1</v>
      </c>
      <c r="F1141" s="101">
        <f t="shared" si="267"/>
        <v>1595</v>
      </c>
      <c r="G1141" s="101">
        <f t="shared" si="268"/>
        <v>1595</v>
      </c>
      <c r="H1141" s="96" t="s">
        <v>1381</v>
      </c>
      <c r="I1141" s="110" t="str">
        <f t="shared" si="275"/>
        <v>FB26_2</v>
      </c>
    </row>
    <row r="1142" spans="1:9" ht="51" x14ac:dyDescent="0.25">
      <c r="A1142" s="110" t="s">
        <v>1383</v>
      </c>
      <c r="B1142" s="96" t="str">
        <f>A1142&amp;".Do you save for any of the following purposes? "&amp;Other!AK4</f>
        <v>FB26.3.Do you save for any of the following purposes? Get ready for retirement</v>
      </c>
      <c r="C1142" s="96" t="s">
        <v>142</v>
      </c>
      <c r="D1142" s="110" t="s">
        <v>38</v>
      </c>
      <c r="E1142" s="101">
        <v>1</v>
      </c>
      <c r="F1142" s="101">
        <f t="shared" si="267"/>
        <v>1596</v>
      </c>
      <c r="G1142" s="101">
        <f t="shared" si="268"/>
        <v>1596</v>
      </c>
      <c r="H1142" s="96" t="s">
        <v>1381</v>
      </c>
      <c r="I1142" s="110" t="str">
        <f t="shared" si="275"/>
        <v>FB26_3</v>
      </c>
    </row>
    <row r="1143" spans="1:9" ht="51" x14ac:dyDescent="0.25">
      <c r="A1143" s="110" t="s">
        <v>1384</v>
      </c>
      <c r="B1143" s="96" t="str">
        <f>A1143&amp;".Do you save for any of the following purposes? "&amp;Other!AK5</f>
        <v>FB26.4.Do you save for any of the following purposes? Buy expensive and prestigious things such as an expensive car, jewelry, designer clothes, high-end electronics.</v>
      </c>
      <c r="C1143" s="96" t="s">
        <v>142</v>
      </c>
      <c r="D1143" s="110" t="s">
        <v>38</v>
      </c>
      <c r="E1143" s="67">
        <v>1</v>
      </c>
      <c r="F1143" s="101">
        <f t="shared" si="267"/>
        <v>1597</v>
      </c>
      <c r="G1143" s="101">
        <f t="shared" si="268"/>
        <v>1597</v>
      </c>
      <c r="H1143" s="96" t="s">
        <v>1381</v>
      </c>
      <c r="I1143" s="110" t="str">
        <f t="shared" si="275"/>
        <v>FB26_4</v>
      </c>
    </row>
    <row r="1144" spans="1:9" ht="51" x14ac:dyDescent="0.25">
      <c r="A1144" s="110" t="s">
        <v>1385</v>
      </c>
      <c r="B1144" s="96" t="str">
        <f>A1144&amp;".Do you save for any of the following purposes? "&amp;Other!AK6</f>
        <v>FB26.5.Do you save for any of the following purposes? Protect your family from poverty and crime</v>
      </c>
      <c r="C1144" s="96" t="s">
        <v>142</v>
      </c>
      <c r="D1144" s="110" t="s">
        <v>38</v>
      </c>
      <c r="E1144" s="113">
        <v>1</v>
      </c>
      <c r="F1144" s="101">
        <f>G1143+1</f>
        <v>1598</v>
      </c>
      <c r="G1144" s="101">
        <f>G1143+E1144</f>
        <v>1598</v>
      </c>
      <c r="H1144" s="96" t="s">
        <v>1381</v>
      </c>
      <c r="I1144" s="110" t="str">
        <f t="shared" si="275"/>
        <v>FB26_5</v>
      </c>
    </row>
    <row r="1145" spans="1:9" ht="51" x14ac:dyDescent="0.25">
      <c r="A1145" s="110" t="s">
        <v>1386</v>
      </c>
      <c r="B1145" s="96" t="str">
        <f>A1145&amp;".Do you save for any of the following purposes? "&amp;Other!AK7</f>
        <v>FB26.6.Do you save for any of the following purposes? In case of emergency</v>
      </c>
      <c r="C1145" s="96" t="s">
        <v>142</v>
      </c>
      <c r="D1145" s="110" t="s">
        <v>38</v>
      </c>
      <c r="E1145" s="113">
        <v>1</v>
      </c>
      <c r="F1145" s="101">
        <f>G1144+1</f>
        <v>1599</v>
      </c>
      <c r="G1145" s="101">
        <f>G1144+E1145</f>
        <v>1599</v>
      </c>
      <c r="H1145" s="96" t="s">
        <v>1381</v>
      </c>
      <c r="I1145" s="110" t="str">
        <f t="shared" si="275"/>
        <v>FB26_6</v>
      </c>
    </row>
    <row r="1146" spans="1:9" ht="51" x14ac:dyDescent="0.25">
      <c r="A1146" s="110" t="s">
        <v>1387</v>
      </c>
      <c r="B1146" s="96" t="str">
        <f>A1146&amp;".Do you save for any of the following purposes? "&amp;Other!AK8</f>
        <v>FB26.7.Do you save for any of the following purposes? Just make ends meet on a daily basis</v>
      </c>
      <c r="C1146" s="96" t="s">
        <v>142</v>
      </c>
      <c r="D1146" s="110" t="s">
        <v>38</v>
      </c>
      <c r="E1146" s="67">
        <v>1</v>
      </c>
      <c r="F1146" s="101">
        <f>G1145+1</f>
        <v>1600</v>
      </c>
      <c r="G1146" s="101">
        <f>G1145+E1146</f>
        <v>1600</v>
      </c>
      <c r="H1146" s="96" t="s">
        <v>1381</v>
      </c>
      <c r="I1146" s="110" t="str">
        <f t="shared" si="275"/>
        <v>FB26_7</v>
      </c>
    </row>
    <row r="1147" spans="1:9" ht="51" x14ac:dyDescent="0.25">
      <c r="A1147" s="110" t="s">
        <v>1388</v>
      </c>
      <c r="B1147" s="96" t="str">
        <f>A1147&amp;".Do you save for any of the following purposes? "&amp;Other!AK9</f>
        <v>FB26.8.Do you save for any of the following purposes? Give back to your community by giving out money, creating a charitable organization (including orphanage, senior home, free school, etc.), or creating jobs </v>
      </c>
      <c r="C1147" s="96" t="s">
        <v>142</v>
      </c>
      <c r="D1147" s="110" t="s">
        <v>38</v>
      </c>
      <c r="E1147" s="101">
        <v>1</v>
      </c>
      <c r="F1147" s="101">
        <f t="shared" si="267"/>
        <v>1601</v>
      </c>
      <c r="G1147" s="101">
        <f t="shared" si="268"/>
        <v>1601</v>
      </c>
      <c r="H1147" s="96" t="s">
        <v>1381</v>
      </c>
      <c r="I1147" s="110" t="str">
        <f t="shared" si="275"/>
        <v>FB26_8</v>
      </c>
    </row>
    <row r="1148" spans="1:9" ht="51" x14ac:dyDescent="0.25">
      <c r="A1148" s="110" t="s">
        <v>1389</v>
      </c>
      <c r="B1148" s="96" t="str">
        <f>A1148&amp;".Do you save for any of the following purposes? "&amp;Other!AK10</f>
        <v>FB26.9.Do you save for any of the following purposes? Build children’s fund for education</v>
      </c>
      <c r="C1148" s="96" t="s">
        <v>142</v>
      </c>
      <c r="D1148" s="110" t="s">
        <v>38</v>
      </c>
      <c r="E1148" s="101">
        <v>1</v>
      </c>
      <c r="F1148" s="101">
        <f t="shared" si="267"/>
        <v>1602</v>
      </c>
      <c r="G1148" s="101">
        <f t="shared" si="268"/>
        <v>1602</v>
      </c>
      <c r="H1148" s="96" t="s">
        <v>1381</v>
      </c>
      <c r="I1148" s="110" t="str">
        <f t="shared" si="275"/>
        <v>FB26_9</v>
      </c>
    </row>
    <row r="1149" spans="1:9" ht="51" x14ac:dyDescent="0.25">
      <c r="A1149" s="110" t="s">
        <v>1390</v>
      </c>
      <c r="B1149" s="96" t="str">
        <f>A1149&amp;".Do you save for any of the following purposes? "&amp;Other!AK11</f>
        <v>FB26.10.Do you save for any of the following purposes? Build children’s fund for wedding (the ceremony and/or dowry)</v>
      </c>
      <c r="C1149" s="96" t="s">
        <v>142</v>
      </c>
      <c r="D1149" s="110" t="s">
        <v>38</v>
      </c>
      <c r="E1149" s="101">
        <v>1</v>
      </c>
      <c r="F1149" s="101">
        <f t="shared" ref="F1149:F1151" si="276">G1148+1</f>
        <v>1603</v>
      </c>
      <c r="G1149" s="101">
        <f t="shared" ref="G1149:G1151" si="277">G1148+E1149</f>
        <v>1603</v>
      </c>
      <c r="H1149" s="96" t="s">
        <v>1381</v>
      </c>
      <c r="I1149" s="110" t="str">
        <f>LEFT(A1149,4) &amp; "_" &amp;RIGHT(A1149,2)</f>
        <v>FB26_10</v>
      </c>
    </row>
    <row r="1150" spans="1:9" ht="51" x14ac:dyDescent="0.25">
      <c r="A1150" s="110" t="s">
        <v>1391</v>
      </c>
      <c r="B1150" s="96" t="str">
        <f>A1150&amp;".Do you save for any of the following purposes? "&amp;Other!AK12</f>
        <v>FB26.11.Do you save for any of the following purposes? Buy or build a house</v>
      </c>
      <c r="C1150" s="96" t="s">
        <v>142</v>
      </c>
      <c r="D1150" s="110" t="s">
        <v>38</v>
      </c>
      <c r="E1150" s="101">
        <v>1</v>
      </c>
      <c r="F1150" s="101">
        <f t="shared" si="276"/>
        <v>1604</v>
      </c>
      <c r="G1150" s="101">
        <f t="shared" si="277"/>
        <v>1604</v>
      </c>
      <c r="H1150" s="96" t="s">
        <v>1381</v>
      </c>
      <c r="I1150" s="110" t="str">
        <f>LEFT(A1150,4) &amp; "_" &amp;RIGHT(A1150,2)</f>
        <v>FB26_11</v>
      </c>
    </row>
    <row r="1151" spans="1:9" ht="51" x14ac:dyDescent="0.25">
      <c r="A1151" s="110" t="s">
        <v>1392</v>
      </c>
      <c r="B1151" s="96" t="str">
        <f>A1151&amp;".Do you save for any of the following purposes? "&amp;Other!AK13</f>
        <v>FB26.96.Do you save for any of the following purposes? Other (Specify)</v>
      </c>
      <c r="C1151" s="96" t="s">
        <v>142</v>
      </c>
      <c r="D1151" s="110" t="s">
        <v>38</v>
      </c>
      <c r="E1151" s="101">
        <v>1</v>
      </c>
      <c r="F1151" s="101">
        <f t="shared" si="276"/>
        <v>1605</v>
      </c>
      <c r="G1151" s="101">
        <f t="shared" si="277"/>
        <v>1605</v>
      </c>
      <c r="H1151" s="96" t="s">
        <v>1381</v>
      </c>
      <c r="I1151" s="110" t="str">
        <f>LEFT(A1151,4) &amp; "_" &amp;RIGHT(A1151,2)</f>
        <v>FB26_96</v>
      </c>
    </row>
    <row r="1152" spans="1:9" x14ac:dyDescent="0.25">
      <c r="A1152" s="121" t="s">
        <v>1393</v>
      </c>
      <c r="B1152" s="122" t="s">
        <v>379</v>
      </c>
      <c r="C1152" s="122" t="s">
        <v>379</v>
      </c>
      <c r="D1152" s="122" t="s">
        <v>379</v>
      </c>
      <c r="E1152" s="122" t="s">
        <v>379</v>
      </c>
      <c r="F1152" s="122" t="s">
        <v>379</v>
      </c>
      <c r="G1152" s="122" t="s">
        <v>379</v>
      </c>
      <c r="H1152" s="122" t="s">
        <v>379</v>
      </c>
      <c r="I1152" s="123" t="s">
        <v>379</v>
      </c>
    </row>
    <row r="1153" spans="1:9" x14ac:dyDescent="0.25">
      <c r="A1153" s="51" t="s">
        <v>4</v>
      </c>
      <c r="B1153" s="52" t="s">
        <v>5</v>
      </c>
      <c r="C1153" s="52" t="s">
        <v>6</v>
      </c>
      <c r="D1153" s="51" t="s">
        <v>7</v>
      </c>
      <c r="E1153" s="52" t="s">
        <v>8</v>
      </c>
      <c r="F1153" s="52" t="s">
        <v>9</v>
      </c>
      <c r="G1153" s="52" t="s">
        <v>10</v>
      </c>
      <c r="H1153" s="52" t="s">
        <v>11</v>
      </c>
      <c r="I1153" s="51" t="s">
        <v>12</v>
      </c>
    </row>
    <row r="1154" spans="1:9" ht="25.5" x14ac:dyDescent="0.25">
      <c r="A1154" s="101" t="s">
        <v>1394</v>
      </c>
      <c r="B1154" s="96" t="str">
        <f>A1154&amp;".Do you have the following insurance? "&amp;Other!AL2</f>
        <v>FB27.1.Do you have the following insurance? Medical</v>
      </c>
      <c r="C1154" s="96" t="s">
        <v>142</v>
      </c>
      <c r="D1154" s="110" t="s">
        <v>38</v>
      </c>
      <c r="E1154" s="101">
        <v>1</v>
      </c>
      <c r="F1154" s="101">
        <f>G1151+1</f>
        <v>1606</v>
      </c>
      <c r="G1154" s="101">
        <f>G1151+E1154</f>
        <v>1606</v>
      </c>
      <c r="H1154" s="10" t="s">
        <v>17</v>
      </c>
      <c r="I1154" s="110" t="str">
        <f t="shared" ref="I1154:I1179" si="278">LEFT(A1154,4) &amp; "_" &amp;RIGHT(A1154,1)</f>
        <v>FB27_1</v>
      </c>
    </row>
    <row r="1155" spans="1:9" ht="25.5" x14ac:dyDescent="0.25">
      <c r="A1155" s="101" t="s">
        <v>1395</v>
      </c>
      <c r="B1155" s="96" t="str">
        <f>A1155&amp;".Do you have the following insurance? "&amp;Other!AL3</f>
        <v>FB27.2.Do you have the following insurance? Life</v>
      </c>
      <c r="C1155" s="96" t="s">
        <v>142</v>
      </c>
      <c r="D1155" s="110" t="s">
        <v>38</v>
      </c>
      <c r="E1155" s="101">
        <v>1</v>
      </c>
      <c r="F1155" s="101">
        <f>G1154+1</f>
        <v>1607</v>
      </c>
      <c r="G1155" s="101">
        <f>G1154+E1155</f>
        <v>1607</v>
      </c>
      <c r="H1155" s="10" t="s">
        <v>17</v>
      </c>
      <c r="I1155" s="110" t="str">
        <f t="shared" si="278"/>
        <v>FB27_2</v>
      </c>
    </row>
    <row r="1156" spans="1:9" ht="25.5" x14ac:dyDescent="0.25">
      <c r="A1156" s="101" t="s">
        <v>1396</v>
      </c>
      <c r="B1156" s="96" t="str">
        <f>A1156&amp;".Do you have the following insurance? "&amp;Other!AL4</f>
        <v>FB27.3.Do you have the following insurance? Car, vehicle</v>
      </c>
      <c r="C1156" s="96" t="s">
        <v>142</v>
      </c>
      <c r="D1156" s="110" t="s">
        <v>38</v>
      </c>
      <c r="E1156" s="101">
        <v>1</v>
      </c>
      <c r="F1156" s="101">
        <f t="shared" ref="F1156:F1170" si="279">G1155+1</f>
        <v>1608</v>
      </c>
      <c r="G1156" s="101">
        <f t="shared" ref="G1156:G1170" si="280">G1155+E1156</f>
        <v>1608</v>
      </c>
      <c r="H1156" s="10" t="s">
        <v>17</v>
      </c>
      <c r="I1156" s="110" t="str">
        <f t="shared" si="278"/>
        <v>FB27_3</v>
      </c>
    </row>
    <row r="1157" spans="1:9" ht="25.5" x14ac:dyDescent="0.25">
      <c r="A1157" s="101" t="s">
        <v>1397</v>
      </c>
      <c r="B1157" s="96" t="str">
        <f>A1157&amp;".Do you have the following insurance? "&amp;Other!AL5</f>
        <v>FB27.4.Do you have the following insurance? Agriculture</v>
      </c>
      <c r="C1157" s="96" t="s">
        <v>142</v>
      </c>
      <c r="D1157" s="110" t="s">
        <v>38</v>
      </c>
      <c r="E1157" s="101">
        <v>1</v>
      </c>
      <c r="F1157" s="101">
        <f t="shared" si="279"/>
        <v>1609</v>
      </c>
      <c r="G1157" s="101">
        <f t="shared" si="280"/>
        <v>1609</v>
      </c>
      <c r="H1157" s="10" t="s">
        <v>17</v>
      </c>
      <c r="I1157" s="110" t="str">
        <f t="shared" si="278"/>
        <v>FB27_4</v>
      </c>
    </row>
    <row r="1158" spans="1:9" ht="25.5" x14ac:dyDescent="0.25">
      <c r="A1158" s="101" t="s">
        <v>1398</v>
      </c>
      <c r="B1158" s="96" t="str">
        <f>A1158&amp;".Do you have the following insurance? "&amp;Other!AL6</f>
        <v>FB27.5.Do you have the following insurance? House/property/asset</v>
      </c>
      <c r="C1158" s="96" t="s">
        <v>142</v>
      </c>
      <c r="D1158" s="110" t="s">
        <v>38</v>
      </c>
      <c r="E1158" s="101">
        <v>1</v>
      </c>
      <c r="F1158" s="101">
        <f t="shared" si="279"/>
        <v>1610</v>
      </c>
      <c r="G1158" s="101">
        <f t="shared" si="280"/>
        <v>1610</v>
      </c>
      <c r="H1158" s="10" t="s">
        <v>17</v>
      </c>
      <c r="I1158" s="110" t="str">
        <f t="shared" si="278"/>
        <v>FB27_5</v>
      </c>
    </row>
    <row r="1159" spans="1:9" ht="25.5" x14ac:dyDescent="0.25">
      <c r="A1159" s="101" t="s">
        <v>1399</v>
      </c>
      <c r="B1159" s="96" t="str">
        <f>A1159&amp;".Do you have the following insurance? "&amp;Other!AL7</f>
        <v>FB27.6.Do you have the following insurance? Educational policy</v>
      </c>
      <c r="C1159" s="96" t="s">
        <v>142</v>
      </c>
      <c r="D1159" s="110" t="s">
        <v>38</v>
      </c>
      <c r="E1159" s="101">
        <v>1</v>
      </c>
      <c r="F1159" s="101">
        <f t="shared" ref="F1159:F1163" si="281">G1158+1</f>
        <v>1611</v>
      </c>
      <c r="G1159" s="101">
        <f t="shared" ref="G1159:G1163" si="282">G1158+E1159</f>
        <v>1611</v>
      </c>
      <c r="H1159" s="10" t="s">
        <v>17</v>
      </c>
      <c r="I1159" s="110" t="str">
        <f t="shared" si="278"/>
        <v>FB27_6</v>
      </c>
    </row>
    <row r="1160" spans="1:9" ht="25.5" x14ac:dyDescent="0.25">
      <c r="A1160" s="101" t="s">
        <v>1400</v>
      </c>
      <c r="B1160" s="96" t="str">
        <f>A1160&amp;".Do you have the following insurance? "&amp;Other!AL8</f>
        <v>FB27.7.Do you have the following insurance? Retirement/pension/old age</v>
      </c>
      <c r="C1160" s="96" t="s">
        <v>142</v>
      </c>
      <c r="D1160" s="110" t="s">
        <v>38</v>
      </c>
      <c r="E1160" s="101">
        <v>1</v>
      </c>
      <c r="F1160" s="101">
        <f t="shared" si="281"/>
        <v>1612</v>
      </c>
      <c r="G1160" s="101">
        <f t="shared" si="282"/>
        <v>1612</v>
      </c>
      <c r="H1160" s="10" t="s">
        <v>17</v>
      </c>
      <c r="I1160" s="110" t="str">
        <f t="shared" si="278"/>
        <v>FB27_7</v>
      </c>
    </row>
    <row r="1161" spans="1:9" ht="25.5" x14ac:dyDescent="0.25">
      <c r="A1161" s="101" t="s">
        <v>1401</v>
      </c>
      <c r="B1161" s="96" t="str">
        <f>A1161&amp;".Do you have the following insurance? "&amp;Other!AL9</f>
        <v>FB27.8.Do you have the following insurance? National Social Security Fund</v>
      </c>
      <c r="C1161" s="96" t="s">
        <v>142</v>
      </c>
      <c r="D1161" s="110" t="s">
        <v>38</v>
      </c>
      <c r="E1161" s="101">
        <v>1</v>
      </c>
      <c r="F1161" s="101">
        <f t="shared" si="281"/>
        <v>1613</v>
      </c>
      <c r="G1161" s="101">
        <f t="shared" si="282"/>
        <v>1613</v>
      </c>
      <c r="H1161" s="10" t="s">
        <v>17</v>
      </c>
      <c r="I1161" s="110" t="str">
        <f t="shared" si="278"/>
        <v>FB27_8</v>
      </c>
    </row>
    <row r="1162" spans="1:9" ht="25.5" x14ac:dyDescent="0.25">
      <c r="A1162" s="101" t="s">
        <v>1402</v>
      </c>
      <c r="B1162" s="96" t="str">
        <f>A1162&amp;".Do you have the following insurance? "&amp;Other!AL10</f>
        <v>FB27.96.Do you have the following insurance? Other (Specify)</v>
      </c>
      <c r="C1162" s="96" t="s">
        <v>142</v>
      </c>
      <c r="D1162" s="110" t="s">
        <v>38</v>
      </c>
      <c r="E1162" s="101">
        <v>1</v>
      </c>
      <c r="F1162" s="101">
        <f t="shared" si="281"/>
        <v>1614</v>
      </c>
      <c r="G1162" s="101">
        <f t="shared" si="282"/>
        <v>1614</v>
      </c>
      <c r="H1162" s="10" t="s">
        <v>17</v>
      </c>
      <c r="I1162" s="110" t="str">
        <f>LEFT(A1162,4) &amp; "_" &amp;RIGHT(A1162,2)</f>
        <v>FB27_96</v>
      </c>
    </row>
    <row r="1163" spans="1:9" ht="114.75" x14ac:dyDescent="0.25">
      <c r="A1163" s="101" t="s">
        <v>1403</v>
      </c>
      <c r="B1163" s="96" t="str">
        <f>A1163&amp;".Where did you buy this insurance from? "&amp;Other!AL2</f>
        <v>FB28.1.Where did you buy this insurance from? Medical</v>
      </c>
      <c r="C1163" s="96" t="s">
        <v>1404</v>
      </c>
      <c r="D1163" s="110" t="s">
        <v>38</v>
      </c>
      <c r="E1163" s="101">
        <v>2</v>
      </c>
      <c r="F1163" s="101">
        <f t="shared" si="281"/>
        <v>1615</v>
      </c>
      <c r="G1163" s="101">
        <f t="shared" si="282"/>
        <v>1616</v>
      </c>
      <c r="H1163" s="96" t="str">
        <f t="shared" ref="H1163:H1171" si="283">"IF "&amp;I1154&amp;"=1"</f>
        <v>IF FB27_1=1</v>
      </c>
      <c r="I1163" s="110" t="str">
        <f t="shared" si="278"/>
        <v>FB28_1</v>
      </c>
    </row>
    <row r="1164" spans="1:9" ht="114.75" x14ac:dyDescent="0.25">
      <c r="A1164" s="110" t="s">
        <v>1405</v>
      </c>
      <c r="B1164" s="96" t="str">
        <f>A1164&amp;".Where did you buy this insurance from? "&amp;Other!AL3</f>
        <v>FB28.2.Where did you buy this insurance from? Life</v>
      </c>
      <c r="C1164" s="96" t="s">
        <v>1404</v>
      </c>
      <c r="D1164" s="110" t="s">
        <v>38</v>
      </c>
      <c r="E1164" s="101">
        <v>2</v>
      </c>
      <c r="F1164" s="101">
        <f t="shared" si="279"/>
        <v>1617</v>
      </c>
      <c r="G1164" s="101">
        <f t="shared" si="280"/>
        <v>1618</v>
      </c>
      <c r="H1164" s="96" t="str">
        <f t="shared" si="283"/>
        <v>IF FB27_2=1</v>
      </c>
      <c r="I1164" s="110" t="str">
        <f t="shared" si="278"/>
        <v>FB28_2</v>
      </c>
    </row>
    <row r="1165" spans="1:9" ht="114.75" x14ac:dyDescent="0.25">
      <c r="A1165" s="110" t="s">
        <v>1406</v>
      </c>
      <c r="B1165" s="96" t="str">
        <f>A1165&amp;".Where did you buy this insurance from? "&amp;Other!AL4</f>
        <v>FB28.3.Where did you buy this insurance from? Car, vehicle</v>
      </c>
      <c r="C1165" s="96" t="s">
        <v>1404</v>
      </c>
      <c r="D1165" s="110" t="s">
        <v>38</v>
      </c>
      <c r="E1165" s="101">
        <v>2</v>
      </c>
      <c r="F1165" s="101">
        <f t="shared" si="279"/>
        <v>1619</v>
      </c>
      <c r="G1165" s="101">
        <f t="shared" si="280"/>
        <v>1620</v>
      </c>
      <c r="H1165" s="96" t="str">
        <f t="shared" si="283"/>
        <v>IF FB27_3=1</v>
      </c>
      <c r="I1165" s="110" t="str">
        <f t="shared" si="278"/>
        <v>FB28_3</v>
      </c>
    </row>
    <row r="1166" spans="1:9" ht="114.75" x14ac:dyDescent="0.25">
      <c r="A1166" s="110" t="s">
        <v>1407</v>
      </c>
      <c r="B1166" s="96" t="str">
        <f>A1166&amp;".Where did you buy this insurance from? "&amp;Other!AL5</f>
        <v>FB28.4.Where did you buy this insurance from? Agriculture</v>
      </c>
      <c r="C1166" s="96" t="s">
        <v>1404</v>
      </c>
      <c r="D1166" s="110" t="s">
        <v>38</v>
      </c>
      <c r="E1166" s="101">
        <v>2</v>
      </c>
      <c r="F1166" s="101">
        <f t="shared" si="279"/>
        <v>1621</v>
      </c>
      <c r="G1166" s="101">
        <f t="shared" si="280"/>
        <v>1622</v>
      </c>
      <c r="H1166" s="96" t="str">
        <f t="shared" si="283"/>
        <v>IF FB27_4=1</v>
      </c>
      <c r="I1166" s="110" t="str">
        <f t="shared" si="278"/>
        <v>FB28_4</v>
      </c>
    </row>
    <row r="1167" spans="1:9" ht="114.75" x14ac:dyDescent="0.25">
      <c r="A1167" s="110" t="s">
        <v>1408</v>
      </c>
      <c r="B1167" s="96" t="str">
        <f>A1167&amp;".Where did you buy this insurance from? "&amp;Other!AL6</f>
        <v>FB28.5.Where did you buy this insurance from? House/property/asset</v>
      </c>
      <c r="C1167" s="96" t="s">
        <v>1404</v>
      </c>
      <c r="D1167" s="110" t="s">
        <v>38</v>
      </c>
      <c r="E1167" s="101">
        <v>2</v>
      </c>
      <c r="F1167" s="101">
        <f t="shared" si="279"/>
        <v>1623</v>
      </c>
      <c r="G1167" s="101">
        <f t="shared" si="280"/>
        <v>1624</v>
      </c>
      <c r="H1167" s="96" t="str">
        <f t="shared" si="283"/>
        <v>IF FB27_5=1</v>
      </c>
      <c r="I1167" s="110" t="str">
        <f t="shared" si="278"/>
        <v>FB28_5</v>
      </c>
    </row>
    <row r="1168" spans="1:9" ht="114.75" x14ac:dyDescent="0.25">
      <c r="A1168" s="110" t="s">
        <v>1409</v>
      </c>
      <c r="B1168" s="96" t="str">
        <f>A1168&amp;".Where did you buy this insurance from? "&amp;Other!AL7</f>
        <v>FB28.6.Where did you buy this insurance from? Educational policy</v>
      </c>
      <c r="C1168" s="96" t="s">
        <v>1404</v>
      </c>
      <c r="D1168" s="110" t="s">
        <v>38</v>
      </c>
      <c r="E1168" s="101">
        <v>2</v>
      </c>
      <c r="F1168" s="101">
        <f t="shared" si="279"/>
        <v>1625</v>
      </c>
      <c r="G1168" s="101">
        <f t="shared" si="280"/>
        <v>1626</v>
      </c>
      <c r="H1168" s="96" t="str">
        <f t="shared" si="283"/>
        <v>IF FB27_6=1</v>
      </c>
      <c r="I1168" s="110" t="str">
        <f t="shared" si="278"/>
        <v>FB28_6</v>
      </c>
    </row>
    <row r="1169" spans="1:9" ht="114.75" x14ac:dyDescent="0.25">
      <c r="A1169" s="110" t="s">
        <v>1410</v>
      </c>
      <c r="B1169" s="96" t="str">
        <f>A1169&amp;".Where did you buy this insurance from? "&amp;Other!AL8</f>
        <v>FB28.7.Where did you buy this insurance from? Retirement/pension/old age</v>
      </c>
      <c r="C1169" s="96" t="s">
        <v>1404</v>
      </c>
      <c r="D1169" s="110" t="s">
        <v>38</v>
      </c>
      <c r="E1169" s="101">
        <v>2</v>
      </c>
      <c r="F1169" s="101">
        <f t="shared" si="279"/>
        <v>1627</v>
      </c>
      <c r="G1169" s="101">
        <f t="shared" si="280"/>
        <v>1628</v>
      </c>
      <c r="H1169" s="96" t="str">
        <f t="shared" si="283"/>
        <v>IF FB27_7=1</v>
      </c>
      <c r="I1169" s="110" t="str">
        <f t="shared" si="278"/>
        <v>FB28_7</v>
      </c>
    </row>
    <row r="1170" spans="1:9" ht="114.75" x14ac:dyDescent="0.25">
      <c r="A1170" s="110" t="s">
        <v>1411</v>
      </c>
      <c r="B1170" s="96" t="str">
        <f>A1170&amp;".Where did you buy this insurance from? "&amp;Other!AL9</f>
        <v>FB28.8.Where did you buy this insurance from? National Social Security Fund</v>
      </c>
      <c r="C1170" s="96" t="s">
        <v>1404</v>
      </c>
      <c r="D1170" s="110" t="s">
        <v>38</v>
      </c>
      <c r="E1170" s="101">
        <v>2</v>
      </c>
      <c r="F1170" s="101">
        <f t="shared" si="279"/>
        <v>1629</v>
      </c>
      <c r="G1170" s="101">
        <f t="shared" si="280"/>
        <v>1630</v>
      </c>
      <c r="H1170" s="96" t="str">
        <f t="shared" si="283"/>
        <v>IF FB27_8=1</v>
      </c>
      <c r="I1170" s="110" t="str">
        <f t="shared" si="278"/>
        <v>FB28_8</v>
      </c>
    </row>
    <row r="1171" spans="1:9" ht="114.75" x14ac:dyDescent="0.25">
      <c r="A1171" s="110" t="s">
        <v>1412</v>
      </c>
      <c r="B1171" s="96" t="str">
        <f>A1171&amp;".Where did you buy this insurance from? "&amp;Other!AL10</f>
        <v>FB28.96.Where did you buy this insurance from? Other (Specify)</v>
      </c>
      <c r="C1171" s="96" t="s">
        <v>1404</v>
      </c>
      <c r="D1171" s="110" t="s">
        <v>38</v>
      </c>
      <c r="E1171" s="101">
        <v>2</v>
      </c>
      <c r="F1171" s="101">
        <f t="shared" ref="F1171" si="284">G1170+1</f>
        <v>1631</v>
      </c>
      <c r="G1171" s="101">
        <f t="shared" ref="G1171" si="285">G1170+E1171</f>
        <v>1632</v>
      </c>
      <c r="H1171" s="96" t="str">
        <f t="shared" si="283"/>
        <v>IF FB27_96=1</v>
      </c>
      <c r="I1171" s="110" t="str">
        <f>LEFT(A1171,4) &amp; "_" &amp;RIGHT(A1171,2)</f>
        <v>FB28_96</v>
      </c>
    </row>
    <row r="1172" spans="1:9" x14ac:dyDescent="0.25">
      <c r="A1172" s="121" t="s">
        <v>1413</v>
      </c>
      <c r="B1172" s="122" t="s">
        <v>451</v>
      </c>
      <c r="C1172" s="122" t="s">
        <v>451</v>
      </c>
      <c r="D1172" s="122" t="s">
        <v>451</v>
      </c>
      <c r="E1172" s="122" t="s">
        <v>451</v>
      </c>
      <c r="F1172" s="122" t="s">
        <v>451</v>
      </c>
      <c r="G1172" s="122" t="s">
        <v>451</v>
      </c>
      <c r="H1172" s="122" t="s">
        <v>451</v>
      </c>
      <c r="I1172" s="123" t="s">
        <v>451</v>
      </c>
    </row>
    <row r="1173" spans="1:9" x14ac:dyDescent="0.25">
      <c r="A1173" s="51" t="s">
        <v>4</v>
      </c>
      <c r="B1173" s="52" t="s">
        <v>5</v>
      </c>
      <c r="C1173" s="52" t="s">
        <v>6</v>
      </c>
      <c r="D1173" s="51" t="s">
        <v>7</v>
      </c>
      <c r="E1173" s="52" t="s">
        <v>8</v>
      </c>
      <c r="F1173" s="52" t="s">
        <v>9</v>
      </c>
      <c r="G1173" s="52" t="s">
        <v>10</v>
      </c>
      <c r="H1173" s="52" t="s">
        <v>11</v>
      </c>
      <c r="I1173" s="51" t="s">
        <v>12</v>
      </c>
    </row>
    <row r="1174" spans="1:9" ht="25.5" x14ac:dyDescent="0.25">
      <c r="A1174" s="110" t="s">
        <v>1414</v>
      </c>
      <c r="B1174" s="96" t="str">
        <f>A1174&amp;".Do you invest in any of the following? "&amp;Other!AM2</f>
        <v>FB29.1.Do you invest in any of the following? Your own business</v>
      </c>
      <c r="C1174" s="96" t="s">
        <v>142</v>
      </c>
      <c r="D1174" s="53" t="s">
        <v>38</v>
      </c>
      <c r="E1174" s="101">
        <v>1</v>
      </c>
      <c r="F1174" s="101">
        <f>G1171+1</f>
        <v>1633</v>
      </c>
      <c r="G1174" s="101">
        <f>G1171+E1174</f>
        <v>1633</v>
      </c>
      <c r="H1174" s="10" t="s">
        <v>17</v>
      </c>
      <c r="I1174" s="110" t="str">
        <f t="shared" si="278"/>
        <v>FB29_1</v>
      </c>
    </row>
    <row r="1175" spans="1:9" ht="25.5" x14ac:dyDescent="0.25">
      <c r="A1175" s="110" t="s">
        <v>1415</v>
      </c>
      <c r="B1175" s="96" t="str">
        <f>A1175&amp;".Do you invest in any of the following? "&amp;Other!AM3</f>
        <v>FB29.2.Do you invest in any of the following? Other people’s businesses (e.g., neighbors, friends, relatives)</v>
      </c>
      <c r="C1175" s="96" t="s">
        <v>142</v>
      </c>
      <c r="D1175" s="53" t="s">
        <v>38</v>
      </c>
      <c r="E1175" s="101">
        <v>1</v>
      </c>
      <c r="F1175" s="101">
        <f t="shared" ref="F1175:F1180" si="286">G1174+1</f>
        <v>1634</v>
      </c>
      <c r="G1175" s="101">
        <f t="shared" ref="G1175:G1180" si="287">G1174+E1175</f>
        <v>1634</v>
      </c>
      <c r="H1175" s="10" t="s">
        <v>17</v>
      </c>
      <c r="I1175" s="110" t="str">
        <f t="shared" si="278"/>
        <v>FB29_2</v>
      </c>
    </row>
    <row r="1176" spans="1:9" ht="25.5" x14ac:dyDescent="0.25">
      <c r="A1176" s="110" t="s">
        <v>1416</v>
      </c>
      <c r="B1176" s="96" t="str">
        <f>A1176&amp;".Do you invest in any of the following? "&amp;Other!AM4</f>
        <v>FB29.3.Do you invest in any of the following? Assets, such as real estate, land, precious metals, gemstones, art, etc.</v>
      </c>
      <c r="C1176" s="96" t="s">
        <v>142</v>
      </c>
      <c r="D1176" s="53" t="s">
        <v>38</v>
      </c>
      <c r="E1176" s="101">
        <v>1</v>
      </c>
      <c r="F1176" s="101">
        <f t="shared" si="286"/>
        <v>1635</v>
      </c>
      <c r="G1176" s="101">
        <f t="shared" si="287"/>
        <v>1635</v>
      </c>
      <c r="H1176" s="10" t="s">
        <v>17</v>
      </c>
      <c r="I1176" s="110" t="str">
        <f t="shared" si="278"/>
        <v>FB29_3</v>
      </c>
    </row>
    <row r="1177" spans="1:9" ht="25.5" x14ac:dyDescent="0.25">
      <c r="A1177" s="110" t="s">
        <v>1417</v>
      </c>
      <c r="B1177" s="96" t="str">
        <f>A1177&amp;".Do you invest in any of the following? "&amp;Other!AM5</f>
        <v>FB29.4.Do you invest in any of the following? Buy shares of foreign enterprises (e.g., Coca Cola, Toyota, etc.)</v>
      </c>
      <c r="C1177" s="96" t="s">
        <v>142</v>
      </c>
      <c r="D1177" s="53" t="s">
        <v>38</v>
      </c>
      <c r="E1177" s="101">
        <v>1</v>
      </c>
      <c r="F1177" s="101">
        <f t="shared" si="286"/>
        <v>1636</v>
      </c>
      <c r="G1177" s="101">
        <f t="shared" si="287"/>
        <v>1636</v>
      </c>
      <c r="H1177" s="10" t="s">
        <v>17</v>
      </c>
      <c r="I1177" s="110" t="str">
        <f t="shared" si="278"/>
        <v>FB29_4</v>
      </c>
    </row>
    <row r="1178" spans="1:9" ht="25.5" x14ac:dyDescent="0.25">
      <c r="A1178" s="110" t="s">
        <v>1418</v>
      </c>
      <c r="B1178" s="96" t="str">
        <f>A1178&amp;".Do you invest in any of the following? "&amp;Other!AM6</f>
        <v xml:space="preserve">FB29.5.Do you invest in any of the following? Buy shares of local enterprises </v>
      </c>
      <c r="C1178" s="96" t="s">
        <v>142</v>
      </c>
      <c r="D1178" s="53" t="s">
        <v>38</v>
      </c>
      <c r="E1178" s="101">
        <v>1</v>
      </c>
      <c r="F1178" s="101">
        <f t="shared" si="286"/>
        <v>1637</v>
      </c>
      <c r="G1178" s="101">
        <f t="shared" si="287"/>
        <v>1637</v>
      </c>
      <c r="H1178" s="10" t="s">
        <v>17</v>
      </c>
      <c r="I1178" s="110" t="str">
        <f t="shared" si="278"/>
        <v>FB29_5</v>
      </c>
    </row>
    <row r="1179" spans="1:9" ht="25.5" x14ac:dyDescent="0.25">
      <c r="A1179" s="110" t="s">
        <v>1419</v>
      </c>
      <c r="B1179" s="96" t="str">
        <f>A1179&amp;".Do you invest in any of the following? "&amp;Other!AM7</f>
        <v>FB29.6.Do you invest in any of the following? Buy government bonds</v>
      </c>
      <c r="C1179" s="96" t="s">
        <v>142</v>
      </c>
      <c r="D1179" s="53" t="s">
        <v>38</v>
      </c>
      <c r="E1179" s="101">
        <v>1</v>
      </c>
      <c r="F1179" s="101">
        <f t="shared" si="286"/>
        <v>1638</v>
      </c>
      <c r="G1179" s="101">
        <f t="shared" si="287"/>
        <v>1638</v>
      </c>
      <c r="H1179" s="10" t="s">
        <v>17</v>
      </c>
      <c r="I1179" s="110" t="str">
        <f t="shared" si="278"/>
        <v>FB29_6</v>
      </c>
    </row>
    <row r="1180" spans="1:9" ht="25.5" x14ac:dyDescent="0.25">
      <c r="A1180" s="110" t="s">
        <v>1420</v>
      </c>
      <c r="B1180" s="96" t="str">
        <f>A1180&amp;".Do you invest in any of the following? "&amp;Other!AM8</f>
        <v>FB29.96.Do you invest in any of the following? Other (Specify)</v>
      </c>
      <c r="C1180" s="96" t="s">
        <v>142</v>
      </c>
      <c r="D1180" s="53" t="s">
        <v>38</v>
      </c>
      <c r="E1180" s="101">
        <v>1</v>
      </c>
      <c r="F1180" s="101">
        <f t="shared" si="286"/>
        <v>1639</v>
      </c>
      <c r="G1180" s="101">
        <f t="shared" si="287"/>
        <v>1639</v>
      </c>
      <c r="H1180" s="10" t="s">
        <v>17</v>
      </c>
      <c r="I1180" s="110" t="str">
        <f>LEFT(A1180,4) &amp; "_" &amp;RIGHT(A1180,2)</f>
        <v>FB29_96</v>
      </c>
    </row>
    <row r="1181" spans="1:9" x14ac:dyDescent="0.25">
      <c r="A1181" s="121" t="s">
        <v>1421</v>
      </c>
      <c r="B1181" s="122" t="s">
        <v>451</v>
      </c>
      <c r="C1181" s="122" t="s">
        <v>451</v>
      </c>
      <c r="D1181" s="122" t="s">
        <v>451</v>
      </c>
      <c r="E1181" s="122" t="s">
        <v>451</v>
      </c>
      <c r="F1181" s="122" t="s">
        <v>451</v>
      </c>
      <c r="G1181" s="122" t="s">
        <v>451</v>
      </c>
      <c r="H1181" s="122" t="s">
        <v>451</v>
      </c>
      <c r="I1181" s="123" t="s">
        <v>451</v>
      </c>
    </row>
    <row r="1182" spans="1:9" x14ac:dyDescent="0.25">
      <c r="A1182" s="51" t="s">
        <v>4</v>
      </c>
      <c r="B1182" s="52" t="s">
        <v>5</v>
      </c>
      <c r="C1182" s="52" t="s">
        <v>6</v>
      </c>
      <c r="D1182" s="51" t="s">
        <v>7</v>
      </c>
      <c r="E1182" s="52" t="s">
        <v>8</v>
      </c>
      <c r="F1182" s="52" t="s">
        <v>9</v>
      </c>
      <c r="G1182" s="52" t="s">
        <v>10</v>
      </c>
      <c r="H1182" s="52" t="s">
        <v>11</v>
      </c>
      <c r="I1182" s="51" t="s">
        <v>12</v>
      </c>
    </row>
    <row r="1183" spans="1:9" ht="102" x14ac:dyDescent="0.25">
      <c r="A1183" s="110" t="s">
        <v>1422</v>
      </c>
      <c r="B1183" s="96" t="str">
        <f>A1183&amp;".How much do you trust each of the following financial service providers/institutions? "&amp;'vFB30&amp;31&amp;32'!B2</f>
        <v>FB30.1.How much do you trust each of the following financial service providers/institutions? Bank</v>
      </c>
      <c r="C1183" s="96" t="s">
        <v>1423</v>
      </c>
      <c r="D1183" s="53" t="s">
        <v>38</v>
      </c>
      <c r="E1183" s="101">
        <v>1</v>
      </c>
      <c r="F1183" s="101">
        <f>G1180+1</f>
        <v>1640</v>
      </c>
      <c r="G1183" s="101">
        <f>G1180+E1183</f>
        <v>1640</v>
      </c>
      <c r="H1183" s="10" t="s">
        <v>17</v>
      </c>
      <c r="I1183" s="110" t="str">
        <f t="shared" ref="I1183:I1190" si="288">LEFT(A1183,4) &amp; "_" &amp;RIGHT(A1183,1)</f>
        <v>FB30_1</v>
      </c>
    </row>
    <row r="1184" spans="1:9" ht="102" x14ac:dyDescent="0.25">
      <c r="A1184" s="110" t="s">
        <v>1424</v>
      </c>
      <c r="B1184" s="96" t="str">
        <f>A1184&amp;".How much do you trust each of the following financial service providers/institutions? "&amp;'vFB30&amp;31&amp;32'!B3</f>
        <v>FB30.2.How much do you trust each of the following financial service providers/institutions? Mobile money provider</v>
      </c>
      <c r="C1184" s="96" t="s">
        <v>1423</v>
      </c>
      <c r="D1184" s="53" t="s">
        <v>38</v>
      </c>
      <c r="E1184" s="101">
        <v>1</v>
      </c>
      <c r="F1184" s="101">
        <f t="shared" ref="F1184:F1185" si="289">G1183+1</f>
        <v>1641</v>
      </c>
      <c r="G1184" s="101">
        <f t="shared" ref="G1184:G1185" si="290">G1183+E1184</f>
        <v>1641</v>
      </c>
      <c r="H1184" s="10" t="s">
        <v>17</v>
      </c>
      <c r="I1184" s="110" t="str">
        <f t="shared" si="288"/>
        <v>FB30_2</v>
      </c>
    </row>
    <row r="1185" spans="1:9" ht="102" x14ac:dyDescent="0.25">
      <c r="A1185" s="110" t="s">
        <v>1425</v>
      </c>
      <c r="B1185" s="96" t="str">
        <f>A1185&amp;".How much do you trust each of the following financial service providers/institutions? "&amp;'vFB30&amp;31&amp;32'!B4</f>
        <v>FB30.3.How much do you trust each of the following financial service providers/institutions? Mobile money agent</v>
      </c>
      <c r="C1185" s="96" t="s">
        <v>1423</v>
      </c>
      <c r="D1185" s="53" t="s">
        <v>38</v>
      </c>
      <c r="E1185" s="101">
        <v>1</v>
      </c>
      <c r="F1185" s="101">
        <f t="shared" si="289"/>
        <v>1642</v>
      </c>
      <c r="G1185" s="101">
        <f t="shared" si="290"/>
        <v>1642</v>
      </c>
      <c r="H1185" s="10" t="s">
        <v>17</v>
      </c>
      <c r="I1185" s="110" t="str">
        <f t="shared" si="288"/>
        <v>FB30_3</v>
      </c>
    </row>
    <row r="1186" spans="1:9" ht="102" x14ac:dyDescent="0.25">
      <c r="A1186" s="110" t="s">
        <v>1426</v>
      </c>
      <c r="B1186" s="96" t="str">
        <f>A1186&amp;".How much do you trust each of the following financial service providers/institutions? "&amp;'vFB30&amp;31&amp;32'!B5</f>
        <v>FB30.4.How much do you trust each of the following financial service providers/institutions? BPR</v>
      </c>
      <c r="C1186" s="96" t="s">
        <v>1423</v>
      </c>
      <c r="D1186" s="53" t="s">
        <v>38</v>
      </c>
      <c r="E1186" s="101">
        <v>1</v>
      </c>
      <c r="F1186" s="101">
        <f t="shared" ref="F1186:F1190" si="291">G1185+1</f>
        <v>1643</v>
      </c>
      <c r="G1186" s="101">
        <f t="shared" ref="G1186:G1190" si="292">G1185+E1186</f>
        <v>1643</v>
      </c>
      <c r="H1186" s="10" t="s">
        <v>17</v>
      </c>
      <c r="I1186" s="110" t="str">
        <f t="shared" si="288"/>
        <v>FB30_4</v>
      </c>
    </row>
    <row r="1187" spans="1:9" ht="102" x14ac:dyDescent="0.25">
      <c r="A1187" s="110" t="s">
        <v>1427</v>
      </c>
      <c r="B1187" s="96" t="str">
        <f>A1187&amp;".How much do you trust each of the following financial service providers/institutions? "&amp;'vFB30&amp;31&amp;32'!B6</f>
        <v>FB30.5.How much do you trust each of the following financial service providers/institutions? Ventura Cooperative</v>
      </c>
      <c r="C1187" s="96" t="s">
        <v>1423</v>
      </c>
      <c r="D1187" s="53" t="s">
        <v>38</v>
      </c>
      <c r="E1187" s="101">
        <v>1</v>
      </c>
      <c r="F1187" s="101">
        <f t="shared" si="291"/>
        <v>1644</v>
      </c>
      <c r="G1187" s="101">
        <f t="shared" si="292"/>
        <v>1644</v>
      </c>
      <c r="H1187" s="10" t="s">
        <v>17</v>
      </c>
      <c r="I1187" s="110" t="str">
        <f t="shared" si="288"/>
        <v>FB30_5</v>
      </c>
    </row>
    <row r="1188" spans="1:9" ht="115.5" customHeight="1" x14ac:dyDescent="0.25">
      <c r="A1188" s="110" t="s">
        <v>1428</v>
      </c>
      <c r="B1188" s="96" t="str">
        <f>A1188&amp;".How much do you trust each of the following financial service providers/institutions? "&amp;'vFB30&amp;31&amp;32'!B7</f>
        <v>FB30.6.How much do you trust each of the following financial service providers/institutions? Pawnshop</v>
      </c>
      <c r="C1188" s="96" t="s">
        <v>1423</v>
      </c>
      <c r="D1188" s="53" t="s">
        <v>38</v>
      </c>
      <c r="E1188" s="101">
        <v>1</v>
      </c>
      <c r="F1188" s="101">
        <f t="shared" si="291"/>
        <v>1645</v>
      </c>
      <c r="G1188" s="101">
        <f t="shared" si="292"/>
        <v>1645</v>
      </c>
      <c r="H1188" s="10" t="s">
        <v>17</v>
      </c>
      <c r="I1188" s="110" t="str">
        <f t="shared" si="288"/>
        <v>FB30_6</v>
      </c>
    </row>
    <row r="1189" spans="1:9" ht="102" x14ac:dyDescent="0.25">
      <c r="A1189" s="110" t="s">
        <v>1429</v>
      </c>
      <c r="B1189" s="96" t="str">
        <f>A1189&amp;".How much do you trust each of the following financial service providers/institutions? "&amp;'vFB30&amp;31&amp;32'!B8</f>
        <v>FB30.7.How much do you trust each of the following financial service providers/institutions? Post office bank</v>
      </c>
      <c r="C1189" s="96" t="s">
        <v>1423</v>
      </c>
      <c r="D1189" s="53" t="s">
        <v>38</v>
      </c>
      <c r="E1189" s="101">
        <v>1</v>
      </c>
      <c r="F1189" s="101">
        <f t="shared" si="291"/>
        <v>1646</v>
      </c>
      <c r="G1189" s="101">
        <f t="shared" si="292"/>
        <v>1646</v>
      </c>
      <c r="H1189" s="10" t="s">
        <v>17</v>
      </c>
      <c r="I1189" s="110" t="str">
        <f t="shared" si="288"/>
        <v>FB30_7</v>
      </c>
    </row>
    <row r="1190" spans="1:9" ht="102" x14ac:dyDescent="0.25">
      <c r="A1190" s="110" t="s">
        <v>1430</v>
      </c>
      <c r="B1190" s="96" t="str">
        <f>A1190&amp;".How much do you trust each of the following financial service providers/institutions? "&amp;'vFB30&amp;31&amp;32'!B9</f>
        <v>FB30.8.How much do you trust each of the following financial service providers/institutions? Informal savings group</v>
      </c>
      <c r="C1190" s="96" t="s">
        <v>1423</v>
      </c>
      <c r="D1190" s="53" t="s">
        <v>38</v>
      </c>
      <c r="E1190" s="101">
        <v>1</v>
      </c>
      <c r="F1190" s="101">
        <f t="shared" si="291"/>
        <v>1647</v>
      </c>
      <c r="G1190" s="101">
        <f t="shared" si="292"/>
        <v>1647</v>
      </c>
      <c r="H1190" s="10" t="s">
        <v>17</v>
      </c>
      <c r="I1190" s="110" t="str">
        <f t="shared" si="288"/>
        <v>FB30_8</v>
      </c>
    </row>
    <row r="1191" spans="1:9" ht="15" x14ac:dyDescent="0.25">
      <c r="A1191" s="110" t="s">
        <v>1431</v>
      </c>
      <c r="B1191" s="96" t="str">
        <f>A1191&amp;".Which do you trust the most? "</f>
        <v xml:space="preserve">FB31.Which do you trust the most? </v>
      </c>
      <c r="C1191" s="118" t="s">
        <v>1432</v>
      </c>
      <c r="D1191" s="53" t="s">
        <v>38</v>
      </c>
      <c r="E1191" s="101">
        <v>1</v>
      </c>
      <c r="F1191" s="101">
        <f t="shared" ref="F1191:F1192" si="293">G1190+1</f>
        <v>1648</v>
      </c>
      <c r="G1191" s="101">
        <f t="shared" ref="G1191:G1192" si="294">G1190+E1191</f>
        <v>1648</v>
      </c>
      <c r="H1191" s="10" t="s">
        <v>17</v>
      </c>
      <c r="I1191" s="110" t="str">
        <f>A1191</f>
        <v>FB31</v>
      </c>
    </row>
    <row r="1192" spans="1:9" ht="15" x14ac:dyDescent="0.25">
      <c r="A1192" s="110" t="s">
        <v>1433</v>
      </c>
      <c r="B1192" s="96" t="str">
        <f>A1192&amp;".Which do you trust the least? "</f>
        <v xml:space="preserve">FB32.Which do you trust the least? </v>
      </c>
      <c r="C1192" s="118" t="s">
        <v>1432</v>
      </c>
      <c r="D1192" s="53" t="s">
        <v>38</v>
      </c>
      <c r="E1192" s="101">
        <v>1</v>
      </c>
      <c r="F1192" s="101">
        <f t="shared" si="293"/>
        <v>1649</v>
      </c>
      <c r="G1192" s="101">
        <f t="shared" si="294"/>
        <v>1649</v>
      </c>
      <c r="H1192" s="10" t="s">
        <v>17</v>
      </c>
      <c r="I1192" s="110" t="str">
        <f>A1192</f>
        <v>FB32</v>
      </c>
    </row>
    <row r="1193" spans="1:9" ht="24" customHeight="1" x14ac:dyDescent="0.25">
      <c r="A1193" s="121" t="s">
        <v>1434</v>
      </c>
      <c r="B1193" s="122" t="s">
        <v>451</v>
      </c>
      <c r="C1193" s="122" t="s">
        <v>451</v>
      </c>
      <c r="D1193" s="122" t="s">
        <v>451</v>
      </c>
      <c r="E1193" s="122" t="s">
        <v>451</v>
      </c>
      <c r="F1193" s="122" t="s">
        <v>451</v>
      </c>
      <c r="G1193" s="122" t="s">
        <v>451</v>
      </c>
      <c r="H1193" s="122" t="s">
        <v>451</v>
      </c>
      <c r="I1193" s="123" t="s">
        <v>451</v>
      </c>
    </row>
    <row r="1194" spans="1:9" ht="21" customHeight="1" x14ac:dyDescent="0.25">
      <c r="A1194" s="51" t="s">
        <v>4</v>
      </c>
      <c r="B1194" s="52" t="s">
        <v>5</v>
      </c>
      <c r="C1194" s="52" t="s">
        <v>6</v>
      </c>
      <c r="D1194" s="51" t="s">
        <v>7</v>
      </c>
      <c r="E1194" s="52" t="s">
        <v>8</v>
      </c>
      <c r="F1194" s="52" t="s">
        <v>9</v>
      </c>
      <c r="G1194" s="52" t="s">
        <v>10</v>
      </c>
      <c r="H1194" s="52" t="s">
        <v>11</v>
      </c>
      <c r="I1194" s="51" t="s">
        <v>12</v>
      </c>
    </row>
    <row r="1195" spans="1:9" ht="153" x14ac:dyDescent="0.25">
      <c r="A1195" s="53" t="s">
        <v>1435</v>
      </c>
      <c r="B1195" s="9" t="s">
        <v>1436</v>
      </c>
      <c r="C1195" s="9" t="s">
        <v>1437</v>
      </c>
      <c r="D1195" s="54" t="s">
        <v>38</v>
      </c>
      <c r="E1195" s="53">
        <v>1</v>
      </c>
      <c r="F1195" s="101">
        <f>G1192+1</f>
        <v>1650</v>
      </c>
      <c r="G1195" s="101">
        <f>G1192+E1195</f>
        <v>1650</v>
      </c>
      <c r="H1195" s="10" t="s">
        <v>17</v>
      </c>
      <c r="I1195" s="54" t="str">
        <f>A1195</f>
        <v>LN1A</v>
      </c>
    </row>
    <row r="1196" spans="1:9" ht="153" x14ac:dyDescent="0.25">
      <c r="A1196" s="54" t="s">
        <v>1438</v>
      </c>
      <c r="B1196" s="9" t="s">
        <v>1439</v>
      </c>
      <c r="C1196" s="9" t="s">
        <v>1440</v>
      </c>
      <c r="D1196" s="54" t="s">
        <v>38</v>
      </c>
      <c r="E1196" s="53">
        <v>1</v>
      </c>
      <c r="F1196" s="101">
        <f>G1195+1</f>
        <v>1651</v>
      </c>
      <c r="G1196" s="101">
        <f>G1195+E1196</f>
        <v>1651</v>
      </c>
      <c r="H1196" s="10" t="s">
        <v>17</v>
      </c>
      <c r="I1196" s="54" t="str">
        <f>A1196</f>
        <v>LN1B</v>
      </c>
    </row>
    <row r="1197" spans="1:9" ht="63.75" x14ac:dyDescent="0.25">
      <c r="A1197" s="110" t="s">
        <v>1441</v>
      </c>
      <c r="B1197" s="96" t="str">
        <f>A1197&amp;".On a scale from 1 (cannot do at all) to 5 (excellent), please evaluate how you perform in the following areas. "&amp;Other!AN2</f>
        <v>LN2.1.On a scale from 1 (cannot do at all) to 5 (excellent), please evaluate how you perform in the following areas. Reading in English</v>
      </c>
      <c r="C1197" s="96" t="s">
        <v>2399</v>
      </c>
      <c r="D1197" s="54" t="s">
        <v>38</v>
      </c>
      <c r="E1197" s="53">
        <v>1</v>
      </c>
      <c r="F1197" s="101">
        <f t="shared" ref="F1197:F1206" si="295">G1196+1</f>
        <v>1652</v>
      </c>
      <c r="G1197" s="101">
        <f t="shared" ref="G1197:G1206" si="296">G1196+E1197</f>
        <v>1652</v>
      </c>
      <c r="H1197" s="10" t="s">
        <v>17</v>
      </c>
      <c r="I1197" s="110" t="str">
        <f t="shared" ref="I1197:I1205" si="297">LEFT(A1197,3) &amp; "_" &amp;RIGHT(A1197,1)</f>
        <v>LN2_1</v>
      </c>
    </row>
    <row r="1198" spans="1:9" ht="63.75" x14ac:dyDescent="0.25">
      <c r="A1198" s="110" t="s">
        <v>1442</v>
      </c>
      <c r="B1198" s="96" t="str">
        <f>A1198&amp;".On a scale from 1 (cannot do at all) to 5 (excellent), please evaluate how you perform in the following areas. "&amp;Other!AN3</f>
        <v xml:space="preserve">LN2.2.On a scale from 1 (cannot do at all) to 5 (excellent), please evaluate how you perform in the following areas. Writing in English </v>
      </c>
      <c r="C1198" s="96" t="s">
        <v>2399</v>
      </c>
      <c r="D1198" s="54" t="s">
        <v>38</v>
      </c>
      <c r="E1198" s="53">
        <v>1</v>
      </c>
      <c r="F1198" s="101">
        <f t="shared" si="295"/>
        <v>1653</v>
      </c>
      <c r="G1198" s="101">
        <f t="shared" si="296"/>
        <v>1653</v>
      </c>
      <c r="H1198" s="10" t="s">
        <v>17</v>
      </c>
      <c r="I1198" s="110" t="str">
        <f t="shared" si="297"/>
        <v>LN2_2</v>
      </c>
    </row>
    <row r="1199" spans="1:9" ht="63.75" x14ac:dyDescent="0.25">
      <c r="A1199" s="110" t="s">
        <v>1443</v>
      </c>
      <c r="B1199" s="96" t="str">
        <f>A1199&amp;".On a scale from 1 (cannot do at all) to 5 (excellent), please evaluate how you perform in the following areas. "&amp;Other!AN4</f>
        <v>LN2.3.On a scale from 1 (cannot do at all) to 5 (excellent), please evaluate how you perform in the following areas. Reading in Indonesian</v>
      </c>
      <c r="C1199" s="96" t="s">
        <v>2399</v>
      </c>
      <c r="D1199" s="54" t="s">
        <v>38</v>
      </c>
      <c r="E1199" s="53">
        <v>1</v>
      </c>
      <c r="F1199" s="101">
        <f t="shared" si="295"/>
        <v>1654</v>
      </c>
      <c r="G1199" s="101">
        <f t="shared" si="296"/>
        <v>1654</v>
      </c>
      <c r="H1199" s="10" t="s">
        <v>17</v>
      </c>
      <c r="I1199" s="110" t="str">
        <f t="shared" si="297"/>
        <v>LN2_3</v>
      </c>
    </row>
    <row r="1200" spans="1:9" ht="63.75" x14ac:dyDescent="0.25">
      <c r="A1200" s="110" t="s">
        <v>1444</v>
      </c>
      <c r="B1200" s="96" t="str">
        <f>A1200&amp;".On a scale from 1 (cannot do at all) to 5 (excellent), please evaluate how you perform in the following areas. "&amp;Other!AN5</f>
        <v>LN2.4.On a scale from 1 (cannot do at all) to 5 (excellent), please evaluate how you perform in the following areas. Writing in Indonesian</v>
      </c>
      <c r="C1200" s="96" t="s">
        <v>2399</v>
      </c>
      <c r="D1200" s="54" t="s">
        <v>38</v>
      </c>
      <c r="E1200" s="53">
        <v>1</v>
      </c>
      <c r="F1200" s="101">
        <f t="shared" si="295"/>
        <v>1655</v>
      </c>
      <c r="G1200" s="101">
        <f t="shared" si="296"/>
        <v>1655</v>
      </c>
      <c r="H1200" s="10" t="s">
        <v>17</v>
      </c>
      <c r="I1200" s="110" t="str">
        <f t="shared" si="297"/>
        <v>LN2_4</v>
      </c>
    </row>
    <row r="1201" spans="1:9" ht="63.75" x14ac:dyDescent="0.25">
      <c r="A1201" s="110" t="s">
        <v>1445</v>
      </c>
      <c r="B1201" s="96" t="str">
        <f>A1201&amp;".On a scale from 1 (cannot do at all) to 5 (excellent), please evaluate how you perform in the following areas. "&amp;Other!AN6</f>
        <v>LN2.5.On a scale from 1 (cannot do at all) to 5 (excellent), please evaluate how you perform in the following areas. Reading in local language 1 (specify)</v>
      </c>
      <c r="C1201" s="96" t="s">
        <v>2399</v>
      </c>
      <c r="D1201" s="54" t="s">
        <v>38</v>
      </c>
      <c r="E1201" s="53">
        <v>1</v>
      </c>
      <c r="F1201" s="101">
        <f t="shared" si="295"/>
        <v>1656</v>
      </c>
      <c r="G1201" s="101">
        <f t="shared" si="296"/>
        <v>1656</v>
      </c>
      <c r="H1201" s="10" t="s">
        <v>17</v>
      </c>
      <c r="I1201" s="110" t="str">
        <f t="shared" si="297"/>
        <v>LN2_5</v>
      </c>
    </row>
    <row r="1202" spans="1:9" ht="63.75" x14ac:dyDescent="0.25">
      <c r="A1202" s="110" t="s">
        <v>1446</v>
      </c>
      <c r="B1202" s="96" t="str">
        <f>A1202&amp;".On a scale from 1 (cannot do at all) to 5 (excellent), please evaluate how you perform in the following areas. "&amp;Other!AN7</f>
        <v>LN2.6.On a scale from 1 (cannot do at all) to 5 (excellent), please evaluate how you perform in the following areas. Writing in local language 1 (specify)</v>
      </c>
      <c r="C1202" s="96" t="s">
        <v>2399</v>
      </c>
      <c r="D1202" s="54" t="s">
        <v>38</v>
      </c>
      <c r="E1202" s="53">
        <v>1</v>
      </c>
      <c r="F1202" s="101">
        <f t="shared" si="295"/>
        <v>1657</v>
      </c>
      <c r="G1202" s="101">
        <f t="shared" si="296"/>
        <v>1657</v>
      </c>
      <c r="H1202" s="10" t="s">
        <v>17</v>
      </c>
      <c r="I1202" s="110" t="str">
        <f t="shared" si="297"/>
        <v>LN2_6</v>
      </c>
    </row>
    <row r="1203" spans="1:9" ht="63.75" x14ac:dyDescent="0.25">
      <c r="A1203" s="110" t="s">
        <v>1447</v>
      </c>
      <c r="B1203" s="96" t="str">
        <f>A1203&amp;".On a scale from 1 (cannot do at all) to 5 (excellent), please evaluate how you perform in the following areas. "&amp;Other!AN8</f>
        <v>LN2.7.On a scale from 1 (cannot do at all) to 5 (excellent), please evaluate how you perform in the following areas. Reading in local language 2 (specify)</v>
      </c>
      <c r="C1203" s="96" t="s">
        <v>2399</v>
      </c>
      <c r="D1203" s="54" t="s">
        <v>38</v>
      </c>
      <c r="E1203" s="53">
        <v>1</v>
      </c>
      <c r="F1203" s="101">
        <f t="shared" si="295"/>
        <v>1658</v>
      </c>
      <c r="G1203" s="101">
        <f t="shared" si="296"/>
        <v>1658</v>
      </c>
      <c r="H1203" s="10" t="s">
        <v>17</v>
      </c>
      <c r="I1203" s="110" t="str">
        <f t="shared" si="297"/>
        <v>LN2_7</v>
      </c>
    </row>
    <row r="1204" spans="1:9" ht="63.75" x14ac:dyDescent="0.25">
      <c r="A1204" s="110" t="s">
        <v>1448</v>
      </c>
      <c r="B1204" s="96" t="str">
        <f>A1204&amp;".On a scale from 1 (cannot do at all) to 5 (excellent), please evaluate how you perform in the following areas. "&amp;Other!AN9</f>
        <v>LN2.8.On a scale from 1 (cannot do at all) to 5 (excellent), please evaluate how you perform in the following areas. Writing in local language 2 (specify)</v>
      </c>
      <c r="C1204" s="96" t="s">
        <v>2399</v>
      </c>
      <c r="D1204" s="54" t="s">
        <v>38</v>
      </c>
      <c r="E1204" s="53">
        <v>1</v>
      </c>
      <c r="F1204" s="101">
        <f t="shared" si="295"/>
        <v>1659</v>
      </c>
      <c r="G1204" s="101">
        <f t="shared" si="296"/>
        <v>1659</v>
      </c>
      <c r="H1204" s="10" t="s">
        <v>17</v>
      </c>
      <c r="I1204" s="110" t="str">
        <f t="shared" si="297"/>
        <v>LN2_8</v>
      </c>
    </row>
    <row r="1205" spans="1:9" ht="63.75" x14ac:dyDescent="0.25">
      <c r="A1205" s="110" t="s">
        <v>1449</v>
      </c>
      <c r="B1205" s="96" t="str">
        <f>A1205&amp;".On a scale from 1 (cannot do at all) to 5 (excellent), please evaluate how you perform in the following areas. "&amp;Other!AN10</f>
        <v>LN2.9.On a scale from 1 (cannot do at all) to 5 (excellent), please evaluate how you perform in the following areas. Reading in local language 3 (specify)</v>
      </c>
      <c r="C1205" s="96" t="s">
        <v>2399</v>
      </c>
      <c r="D1205" s="54" t="s">
        <v>38</v>
      </c>
      <c r="E1205" s="53">
        <v>1</v>
      </c>
      <c r="F1205" s="101">
        <f t="shared" si="295"/>
        <v>1660</v>
      </c>
      <c r="G1205" s="101">
        <f t="shared" si="296"/>
        <v>1660</v>
      </c>
      <c r="H1205" s="10" t="s">
        <v>17</v>
      </c>
      <c r="I1205" s="110" t="str">
        <f t="shared" si="297"/>
        <v>LN2_9</v>
      </c>
    </row>
    <row r="1206" spans="1:9" ht="63.75" x14ac:dyDescent="0.25">
      <c r="A1206" s="110" t="s">
        <v>1450</v>
      </c>
      <c r="B1206" s="96" t="str">
        <f>A1206&amp;".On a scale from 1 (cannot do at all) to 5 (excellent), please evaluate how you perform in the following areas. "&amp;Other!AN11</f>
        <v>LN2.10.On a scale from 1 (cannot do at all) to 5 (excellent), please evaluate how you perform in the following areas. Writing in local language 3 (specify)</v>
      </c>
      <c r="C1206" s="96" t="s">
        <v>2399</v>
      </c>
      <c r="D1206" s="54" t="s">
        <v>38</v>
      </c>
      <c r="E1206" s="53">
        <v>1</v>
      </c>
      <c r="F1206" s="101">
        <f t="shared" si="295"/>
        <v>1661</v>
      </c>
      <c r="G1206" s="101">
        <f t="shared" si="296"/>
        <v>1661</v>
      </c>
      <c r="H1206" s="10" t="s">
        <v>17</v>
      </c>
      <c r="I1206" s="110" t="str">
        <f>LEFT(A1206,3) &amp; "_" &amp;RIGHT(A1206,2)</f>
        <v>LN2_10</v>
      </c>
    </row>
    <row r="1207" spans="1:9" x14ac:dyDescent="0.25">
      <c r="A1207" s="121" t="s">
        <v>1451</v>
      </c>
      <c r="B1207" s="122" t="s">
        <v>1452</v>
      </c>
      <c r="C1207" s="122" t="s">
        <v>1452</v>
      </c>
      <c r="D1207" s="122" t="s">
        <v>1452</v>
      </c>
      <c r="E1207" s="122" t="s">
        <v>1452</v>
      </c>
      <c r="F1207" s="122" t="s">
        <v>1452</v>
      </c>
      <c r="G1207" s="122" t="s">
        <v>1452</v>
      </c>
      <c r="H1207" s="122" t="s">
        <v>1452</v>
      </c>
      <c r="I1207" s="123" t="s">
        <v>1452</v>
      </c>
    </row>
    <row r="1208" spans="1:9" x14ac:dyDescent="0.25">
      <c r="A1208" s="51" t="s">
        <v>4</v>
      </c>
      <c r="B1208" s="52" t="s">
        <v>5</v>
      </c>
      <c r="C1208" s="52" t="s">
        <v>6</v>
      </c>
      <c r="D1208" s="51" t="s">
        <v>7</v>
      </c>
      <c r="E1208" s="52" t="s">
        <v>8</v>
      </c>
      <c r="F1208" s="52" t="s">
        <v>9</v>
      </c>
      <c r="G1208" s="52" t="s">
        <v>10</v>
      </c>
      <c r="H1208" s="52" t="s">
        <v>11</v>
      </c>
      <c r="I1208" s="51" t="s">
        <v>12</v>
      </c>
    </row>
    <row r="1209" spans="1:9" ht="102" x14ac:dyDescent="0.25">
      <c r="A1209" s="110" t="s">
        <v>1453</v>
      </c>
      <c r="B1209" s="96" t="str">
        <f>A1209&amp;".Who usually decides how the money you earn will be used?"</f>
        <v>GN1.Who usually decides how the money you earn will be used?</v>
      </c>
      <c r="C1209" s="96" t="s">
        <v>1454</v>
      </c>
      <c r="D1209" s="54" t="s">
        <v>38</v>
      </c>
      <c r="E1209" s="53">
        <v>2</v>
      </c>
      <c r="F1209" s="101">
        <f>G1206+1</f>
        <v>1662</v>
      </c>
      <c r="G1209" s="101">
        <f>G1206+E1209</f>
        <v>1663</v>
      </c>
      <c r="H1209" s="14" t="s">
        <v>1455</v>
      </c>
      <c r="I1209" s="110" t="str">
        <f t="shared" ref="I1209:I1218" si="298">A1209</f>
        <v>GN1</v>
      </c>
    </row>
    <row r="1210" spans="1:9" ht="76.5" x14ac:dyDescent="0.25">
      <c r="A1210" s="110" t="s">
        <v>1456</v>
      </c>
      <c r="B1210" s="96" t="str">
        <f>A1210&amp;".Who in your household decides what purchases are made to meet daily household needs like food, clothing, and cleaning supplies? "</f>
        <v xml:space="preserve">GN2.Who in your household decides what purchases are made to meet daily household needs like food, clothing, and cleaning supplies? </v>
      </c>
      <c r="C1210" s="96" t="s">
        <v>1454</v>
      </c>
      <c r="D1210" s="54" t="s">
        <v>38</v>
      </c>
      <c r="E1210" s="53">
        <v>2</v>
      </c>
      <c r="F1210" s="101">
        <f>G1209+1</f>
        <v>1664</v>
      </c>
      <c r="G1210" s="101">
        <f>G1209+E1210</f>
        <v>1665</v>
      </c>
      <c r="H1210" s="10" t="s">
        <v>17</v>
      </c>
      <c r="I1210" s="110" t="str">
        <f t="shared" si="298"/>
        <v>GN2</v>
      </c>
    </row>
    <row r="1211" spans="1:9" ht="76.5" x14ac:dyDescent="0.25">
      <c r="A1211" s="110" t="s">
        <v>1457</v>
      </c>
      <c r="B1211" s="96" t="str">
        <f>A1211&amp;".Who controls assets (i.e., savings, land, and livestock) in your household?"</f>
        <v>GN3.Who controls assets (i.e., savings, land, and livestock) in your household?</v>
      </c>
      <c r="C1211" s="96" t="s">
        <v>1454</v>
      </c>
      <c r="D1211" s="54" t="s">
        <v>38</v>
      </c>
      <c r="E1211" s="53">
        <v>2</v>
      </c>
      <c r="F1211" s="101">
        <f t="shared" ref="F1211:F1254" si="299">G1210+1</f>
        <v>1666</v>
      </c>
      <c r="G1211" s="101">
        <f t="shared" ref="G1211:G1254" si="300">G1210+E1211</f>
        <v>1667</v>
      </c>
      <c r="H1211" s="10" t="s">
        <v>17</v>
      </c>
      <c r="I1211" s="110" t="str">
        <f t="shared" si="298"/>
        <v>GN3</v>
      </c>
    </row>
    <row r="1212" spans="1:9" ht="76.5" x14ac:dyDescent="0.25">
      <c r="A1212" s="110" t="s">
        <v>1458</v>
      </c>
      <c r="B1212" s="96" t="str">
        <f>A1212&amp;".Who decides what kind of financial services (e.g. use a savings account) your you can personally use?"</f>
        <v>GN4.Who decides what kind of financial services (e.g. use a savings account) your you can personally use?</v>
      </c>
      <c r="C1212" s="96" t="s">
        <v>1454</v>
      </c>
      <c r="D1212" s="54" t="s">
        <v>38</v>
      </c>
      <c r="E1212" s="53">
        <v>2</v>
      </c>
      <c r="F1212" s="101">
        <f t="shared" si="299"/>
        <v>1668</v>
      </c>
      <c r="G1212" s="101">
        <f t="shared" si="300"/>
        <v>1669</v>
      </c>
      <c r="H1212" s="10" t="s">
        <v>17</v>
      </c>
      <c r="I1212" s="110" t="str">
        <f t="shared" si="298"/>
        <v>GN4</v>
      </c>
    </row>
    <row r="1213" spans="1:9" ht="76.5" x14ac:dyDescent="0.25">
      <c r="A1213" s="101" t="s">
        <v>1459</v>
      </c>
      <c r="B1213" s="96" t="str">
        <f>A1213&amp;".Who decides what kind of financial services (e.g. use a savings account) you can personally use?"</f>
        <v>GN5.Who decides what kind of financial services (e.g. use a savings account) you can personally use?</v>
      </c>
      <c r="C1213" s="96" t="s">
        <v>1454</v>
      </c>
      <c r="D1213" s="54" t="s">
        <v>38</v>
      </c>
      <c r="E1213" s="53">
        <v>2</v>
      </c>
      <c r="F1213" s="101">
        <f t="shared" si="299"/>
        <v>1670</v>
      </c>
      <c r="G1213" s="101">
        <f t="shared" si="300"/>
        <v>1671</v>
      </c>
      <c r="H1213" s="10" t="s">
        <v>17</v>
      </c>
      <c r="I1213" s="110" t="str">
        <f t="shared" si="298"/>
        <v>GN5</v>
      </c>
    </row>
    <row r="1214" spans="1:9" ht="25.5" x14ac:dyDescent="0.25">
      <c r="A1214" s="101" t="s">
        <v>1460</v>
      </c>
      <c r="B1214" s="96" t="str">
        <f>A1214&amp;".Do you have money that you can decide how to spend or save as you want without input from anyone else?"</f>
        <v>GQ1.Do you have money that you can decide how to spend or save as you want without input from anyone else?</v>
      </c>
      <c r="C1214" s="96" t="s">
        <v>142</v>
      </c>
      <c r="D1214" s="54" t="s">
        <v>38</v>
      </c>
      <c r="E1214" s="53">
        <v>1</v>
      </c>
      <c r="F1214" s="101">
        <f>G1213+1</f>
        <v>1672</v>
      </c>
      <c r="G1214" s="101">
        <f>G1213+E1214</f>
        <v>1672</v>
      </c>
      <c r="H1214" s="14" t="s">
        <v>1461</v>
      </c>
      <c r="I1214" s="110" t="str">
        <f t="shared" si="298"/>
        <v>GQ1</v>
      </c>
    </row>
    <row r="1215" spans="1:9" ht="38.25" x14ac:dyDescent="0.25">
      <c r="A1215" s="101" t="s">
        <v>1462</v>
      </c>
      <c r="B1215" s="96" t="s">
        <v>1463</v>
      </c>
      <c r="C1215" s="96" t="s">
        <v>442</v>
      </c>
      <c r="D1215" s="54" t="s">
        <v>38</v>
      </c>
      <c r="E1215" s="53">
        <v>2</v>
      </c>
      <c r="F1215" s="101">
        <f>G1214+1</f>
        <v>1673</v>
      </c>
      <c r="G1215" s="101">
        <f>G1214+E1215</f>
        <v>1674</v>
      </c>
      <c r="H1215" s="89" t="s">
        <v>1464</v>
      </c>
      <c r="I1215" s="110" t="s">
        <v>1462</v>
      </c>
    </row>
    <row r="1216" spans="1:9" ht="63.75" x14ac:dyDescent="0.25">
      <c r="A1216" s="101" t="s">
        <v>1466</v>
      </c>
      <c r="B1216" s="96" t="s">
        <v>1467</v>
      </c>
      <c r="C1216" s="96" t="s">
        <v>1468</v>
      </c>
      <c r="D1216" s="54" t="s">
        <v>38</v>
      </c>
      <c r="E1216" s="53">
        <v>2</v>
      </c>
      <c r="F1216" s="101">
        <f t="shared" ref="F1216:F1218" si="301">G1215+1</f>
        <v>1675</v>
      </c>
      <c r="G1216" s="101">
        <f t="shared" ref="G1216:G1218" si="302">G1215+E1216</f>
        <v>1676</v>
      </c>
      <c r="H1216" s="89" t="s">
        <v>1464</v>
      </c>
      <c r="I1216" s="110" t="s">
        <v>1466</v>
      </c>
    </row>
    <row r="1217" spans="1:9" ht="38.25" x14ac:dyDescent="0.25">
      <c r="A1217" s="101" t="s">
        <v>1469</v>
      </c>
      <c r="B1217" s="96" t="s">
        <v>1470</v>
      </c>
      <c r="C1217" s="96" t="s">
        <v>1465</v>
      </c>
      <c r="D1217" s="54" t="s">
        <v>38</v>
      </c>
      <c r="E1217" s="53">
        <v>1</v>
      </c>
      <c r="F1217" s="101">
        <f t="shared" si="301"/>
        <v>1677</v>
      </c>
      <c r="G1217" s="101">
        <f t="shared" si="302"/>
        <v>1677</v>
      </c>
      <c r="H1217" s="89" t="s">
        <v>1471</v>
      </c>
      <c r="I1217" s="110" t="s">
        <v>1469</v>
      </c>
    </row>
    <row r="1218" spans="1:9" ht="63.75" x14ac:dyDescent="0.25">
      <c r="A1218" s="110" t="s">
        <v>1472</v>
      </c>
      <c r="B1218" s="96" t="str">
        <f>A1218&amp;".Overall, how do you feel that decisions about how money is spent, saved and managed in your household are made?"</f>
        <v>GQ4.Overall, how do you feel that decisions about how money is spent, saved and managed in your household are made?</v>
      </c>
      <c r="C1218" s="96" t="s">
        <v>1473</v>
      </c>
      <c r="D1218" s="54" t="s">
        <v>38</v>
      </c>
      <c r="E1218" s="53">
        <v>1</v>
      </c>
      <c r="F1218" s="101">
        <f t="shared" si="301"/>
        <v>1678</v>
      </c>
      <c r="G1218" s="101">
        <f t="shared" si="302"/>
        <v>1678</v>
      </c>
      <c r="H1218" s="89" t="s">
        <v>1461</v>
      </c>
      <c r="I1218" s="110" t="str">
        <f t="shared" si="298"/>
        <v>GQ4</v>
      </c>
    </row>
    <row r="1219" spans="1:9" ht="51" x14ac:dyDescent="0.25">
      <c r="A1219" s="110" t="s">
        <v>1474</v>
      </c>
      <c r="B1219" s="96" t="str">
        <f>A1219&amp;".(Mobile money) For each, please tell me if you feel that your financial activities are kept private between you and the mobile money agent at the time of the task? "&amp;"Adding cash to your account with an agent"</f>
        <v>GQ5.1.(Mobile money) For each, please tell me if you feel that your financial activities are kept private between you and the mobile money agent at the time of the task? Adding cash to your account with an agent</v>
      </c>
      <c r="C1219" s="96" t="s">
        <v>1475</v>
      </c>
      <c r="D1219" s="54" t="s">
        <v>38</v>
      </c>
      <c r="E1219" s="53">
        <v>2</v>
      </c>
      <c r="F1219" s="101">
        <f t="shared" ref="F1219" si="303">G1218+1</f>
        <v>1679</v>
      </c>
      <c r="G1219" s="101">
        <f t="shared" si="300"/>
        <v>1680</v>
      </c>
      <c r="H1219" s="114" t="s">
        <v>1476</v>
      </c>
      <c r="I1219" s="110" t="str">
        <f>LEFT(A1219,3) &amp; "_" &amp;RIGHT(A1219,1)</f>
        <v>GQ5_1</v>
      </c>
    </row>
    <row r="1220" spans="1:9" ht="51" x14ac:dyDescent="0.25">
      <c r="A1220" s="110" t="s">
        <v>1477</v>
      </c>
      <c r="B1220" s="96" t="str">
        <f>A1220&amp;".(Mobile money) For each, please tell me if you feel that your financial activities are kept private between you and the mobile money agent at the time of the task? "&amp;"Going to an agent to open an account"</f>
        <v>GQ5.2.(Mobile money) For each, please tell me if you feel that your financial activities are kept private between you and the mobile money agent at the time of the task? Going to an agent to open an account</v>
      </c>
      <c r="C1220" s="96" t="s">
        <v>1475</v>
      </c>
      <c r="D1220" s="54" t="s">
        <v>38</v>
      </c>
      <c r="E1220" s="53">
        <v>2</v>
      </c>
      <c r="F1220" s="101">
        <f t="shared" si="299"/>
        <v>1681</v>
      </c>
      <c r="G1220" s="101">
        <f t="shared" si="300"/>
        <v>1682</v>
      </c>
      <c r="H1220" s="114" t="s">
        <v>1476</v>
      </c>
      <c r="I1220" s="110" t="str">
        <f>LEFT(A1220,3) &amp; "_" &amp;RIGHT(A1220,1)</f>
        <v>GQ5_2</v>
      </c>
    </row>
    <row r="1221" spans="1:9" ht="51" x14ac:dyDescent="0.25">
      <c r="A1221" s="110" t="s">
        <v>1478</v>
      </c>
      <c r="B1221" s="96" t="str">
        <f>A1221&amp;".(Mobile money) For each, please tell me if you feel that your financial activities are kept private between you and the mobile money agent at the time of the task? "&amp;"Talking to an agent about your finances"</f>
        <v>GQ5.3.(Mobile money) For each, please tell me if you feel that your financial activities are kept private between you and the mobile money agent at the time of the task? Talking to an agent about your finances</v>
      </c>
      <c r="C1221" s="96" t="s">
        <v>1475</v>
      </c>
      <c r="D1221" s="54" t="s">
        <v>38</v>
      </c>
      <c r="E1221" s="53">
        <v>2</v>
      </c>
      <c r="F1221" s="101">
        <f t="shared" si="299"/>
        <v>1683</v>
      </c>
      <c r="G1221" s="101">
        <f t="shared" si="300"/>
        <v>1684</v>
      </c>
      <c r="H1221" s="114" t="s">
        <v>1476</v>
      </c>
      <c r="I1221" s="110" t="str">
        <f>LEFT(A1221,3) &amp; "_" &amp;RIGHT(A1221,1)</f>
        <v>GQ5_3</v>
      </c>
    </row>
    <row r="1222" spans="1:9" ht="51" x14ac:dyDescent="0.25">
      <c r="A1222" s="110" t="s">
        <v>1479</v>
      </c>
      <c r="B1222" s="96" t="str">
        <f>A1222&amp;".(Mobile money) For each, please tell me if you feel that your financial activities are kept private between you and the mobile money agent at the time of the task? "&amp;"Withdrawing cash from your account with an agent"</f>
        <v>GQ5.4.(Mobile money) For each, please tell me if you feel that your financial activities are kept private between you and the mobile money agent at the time of the task? Withdrawing cash from your account with an agent</v>
      </c>
      <c r="C1222" s="96" t="s">
        <v>1475</v>
      </c>
      <c r="D1222" s="54" t="s">
        <v>38</v>
      </c>
      <c r="E1222" s="53">
        <v>2</v>
      </c>
      <c r="F1222" s="101">
        <f t="shared" si="299"/>
        <v>1685</v>
      </c>
      <c r="G1222" s="101">
        <f t="shared" si="300"/>
        <v>1686</v>
      </c>
      <c r="H1222" s="114" t="s">
        <v>1476</v>
      </c>
      <c r="I1222" s="110" t="str">
        <f>LEFT(A1222,3) &amp; "_" &amp;RIGHT(A1222,1)</f>
        <v>GQ5_4</v>
      </c>
    </row>
    <row r="1223" spans="1:9" ht="51" x14ac:dyDescent="0.25">
      <c r="A1223" s="110" t="s">
        <v>1480</v>
      </c>
      <c r="B1223" s="96" t="str">
        <f>A1223&amp;".(Mobile money) For each, please tell me if you are the one who is making decisions related to that task, without being told what to do by someone else? "&amp;"Adding cash to your account with an agent"</f>
        <v>GQ6.1.(Mobile money) For each, please tell me if you are the one who is making decisions related to that task, without being told what to do by someone else? Adding cash to your account with an agent</v>
      </c>
      <c r="C1223" s="96" t="s">
        <v>1481</v>
      </c>
      <c r="D1223" s="54" t="s">
        <v>38</v>
      </c>
      <c r="E1223" s="53">
        <v>2</v>
      </c>
      <c r="F1223" s="101">
        <f t="shared" si="299"/>
        <v>1687</v>
      </c>
      <c r="G1223" s="101">
        <f t="shared" si="300"/>
        <v>1688</v>
      </c>
      <c r="H1223" s="114" t="s">
        <v>1476</v>
      </c>
      <c r="I1223" s="110" t="str">
        <f t="shared" ref="I1223:I1229" si="304">LEFT(A1223,3) &amp; "_" &amp;RIGHT(A1223,1)</f>
        <v>GQ6_1</v>
      </c>
    </row>
    <row r="1224" spans="1:9" ht="51" x14ac:dyDescent="0.25">
      <c r="A1224" s="110" t="s">
        <v>1482</v>
      </c>
      <c r="B1224" s="96" t="str">
        <f>A1224&amp;".(Mobile money) For each, please tell me if you are the one who is making decisions related to that task, without being told what to do by someone else? "&amp;"Going to an agent to open an account"</f>
        <v>GQ6.2.(Mobile money) For each, please tell me if you are the one who is making decisions related to that task, without being told what to do by someone else? Going to an agent to open an account</v>
      </c>
      <c r="C1224" s="96" t="s">
        <v>1481</v>
      </c>
      <c r="D1224" s="54" t="s">
        <v>38</v>
      </c>
      <c r="E1224" s="53">
        <v>2</v>
      </c>
      <c r="F1224" s="101">
        <f t="shared" si="299"/>
        <v>1689</v>
      </c>
      <c r="G1224" s="101">
        <f t="shared" si="300"/>
        <v>1690</v>
      </c>
      <c r="H1224" s="114" t="s">
        <v>1476</v>
      </c>
      <c r="I1224" s="110" t="str">
        <f t="shared" si="304"/>
        <v>GQ6_2</v>
      </c>
    </row>
    <row r="1225" spans="1:9" ht="51" x14ac:dyDescent="0.25">
      <c r="A1225" s="110" t="s">
        <v>1483</v>
      </c>
      <c r="B1225" s="96" t="str">
        <f>A1225&amp;".(Mobile money) For each, please tell me if you are the one who is making decisions related to that task, without being told what to do by someone else? "&amp;"Talking to an agent about your finances"</f>
        <v>GQ6.3.(Mobile money) For each, please tell me if you are the one who is making decisions related to that task, without being told what to do by someone else? Talking to an agent about your finances</v>
      </c>
      <c r="C1225" s="96" t="s">
        <v>1481</v>
      </c>
      <c r="D1225" s="54" t="s">
        <v>38</v>
      </c>
      <c r="E1225" s="53">
        <v>2</v>
      </c>
      <c r="F1225" s="101">
        <f t="shared" si="299"/>
        <v>1691</v>
      </c>
      <c r="G1225" s="101">
        <f t="shared" si="300"/>
        <v>1692</v>
      </c>
      <c r="H1225" s="114" t="s">
        <v>1476</v>
      </c>
      <c r="I1225" s="110" t="str">
        <f t="shared" si="304"/>
        <v>GQ6_3</v>
      </c>
    </row>
    <row r="1226" spans="1:9" ht="51" x14ac:dyDescent="0.25">
      <c r="A1226" s="110" t="s">
        <v>1484</v>
      </c>
      <c r="B1226" s="96" t="str">
        <f>A1226&amp;".(Mobile money) For each, please tell me if you are the one who is making decisions related to that task, without being told what to do by someone else? "&amp;"Withdrawing cash from your account with an agent"</f>
        <v>GQ6.4.(Mobile money) For each, please tell me if you are the one who is making decisions related to that task, without being told what to do by someone else? Withdrawing cash from your account with an agent</v>
      </c>
      <c r="C1226" s="96" t="s">
        <v>1481</v>
      </c>
      <c r="D1226" s="54" t="s">
        <v>38</v>
      </c>
      <c r="E1226" s="53">
        <v>2</v>
      </c>
      <c r="F1226" s="101">
        <f t="shared" si="299"/>
        <v>1693</v>
      </c>
      <c r="G1226" s="101">
        <f t="shared" si="300"/>
        <v>1694</v>
      </c>
      <c r="H1226" s="114" t="s">
        <v>1476</v>
      </c>
      <c r="I1226" s="110" t="str">
        <f t="shared" si="304"/>
        <v>GQ6_4</v>
      </c>
    </row>
    <row r="1227" spans="1:9" ht="51" x14ac:dyDescent="0.25">
      <c r="A1227" s="110" t="s">
        <v>1485</v>
      </c>
      <c r="B1227" s="96" t="str">
        <f>A1227&amp;".(Mobile money) For each, please tell me if you feel that your financial activities are kept private at the time of the transaction? "&amp;"Using a phone to transfer money"</f>
        <v>GQ7.1.(Mobile money) For each, please tell me if you feel that your financial activities are kept private at the time of the transaction? Using a phone to transfer money</v>
      </c>
      <c r="C1227" s="96" t="s">
        <v>1475</v>
      </c>
      <c r="D1227" s="54" t="s">
        <v>38</v>
      </c>
      <c r="E1227" s="53">
        <v>2</v>
      </c>
      <c r="F1227" s="101">
        <f t="shared" si="299"/>
        <v>1695</v>
      </c>
      <c r="G1227" s="101">
        <f t="shared" si="300"/>
        <v>1696</v>
      </c>
      <c r="H1227" s="114" t="s">
        <v>1476</v>
      </c>
      <c r="I1227" s="110" t="str">
        <f t="shared" si="304"/>
        <v>GQ7_1</v>
      </c>
    </row>
    <row r="1228" spans="1:9" ht="51" x14ac:dyDescent="0.25">
      <c r="A1228" s="110" t="s">
        <v>1486</v>
      </c>
      <c r="B1228" s="96" t="str">
        <f>A1228&amp;".(Mobile money) For each, please tell me if you feel that your financial activities are kept private at the time of the transaction? "&amp;"Using a phone to make a purchase"</f>
        <v>GQ7.2.(Mobile money) For each, please tell me if you feel that your financial activities are kept private at the time of the transaction? Using a phone to make a purchase</v>
      </c>
      <c r="C1228" s="96" t="s">
        <v>1475</v>
      </c>
      <c r="D1228" s="54" t="s">
        <v>38</v>
      </c>
      <c r="E1228" s="53">
        <v>2</v>
      </c>
      <c r="F1228" s="101">
        <f t="shared" si="299"/>
        <v>1697</v>
      </c>
      <c r="G1228" s="101">
        <f t="shared" si="300"/>
        <v>1698</v>
      </c>
      <c r="H1228" s="114" t="s">
        <v>1476</v>
      </c>
      <c r="I1228" s="110" t="str">
        <f t="shared" si="304"/>
        <v>GQ7_2</v>
      </c>
    </row>
    <row r="1229" spans="1:9" ht="51" x14ac:dyDescent="0.25">
      <c r="A1229" s="110" t="s">
        <v>1487</v>
      </c>
      <c r="B1229" s="96" t="str">
        <f>A1229&amp;".(Mobile money) For each, please tell me if you feel that your financial activities are kept private at the time of the transaction? "&amp;"Using a phone to pay a bill"</f>
        <v>GQ7.3.(Mobile money) For each, please tell me if you feel that your financial activities are kept private at the time of the transaction? Using a phone to pay a bill</v>
      </c>
      <c r="C1229" s="96" t="s">
        <v>1475</v>
      </c>
      <c r="D1229" s="54" t="s">
        <v>38</v>
      </c>
      <c r="E1229" s="53">
        <v>2</v>
      </c>
      <c r="F1229" s="101">
        <f t="shared" si="299"/>
        <v>1699</v>
      </c>
      <c r="G1229" s="101">
        <f t="shared" si="300"/>
        <v>1700</v>
      </c>
      <c r="H1229" s="114" t="s">
        <v>1476</v>
      </c>
      <c r="I1229" s="110" t="str">
        <f t="shared" si="304"/>
        <v>GQ7_3</v>
      </c>
    </row>
    <row r="1230" spans="1:9" ht="51" x14ac:dyDescent="0.25">
      <c r="A1230" s="110" t="s">
        <v>1488</v>
      </c>
      <c r="B1230" s="96" t="str">
        <f>A1230&amp;".(Mobile money) For each, please tell me if you are the one who is making decisions related to that transaction, without being told what to do by someone else? "&amp;"Using a phone to transfer money"</f>
        <v>GQ8.1.(Mobile money) For each, please tell me if you are the one who is making decisions related to that transaction, without being told what to do by someone else? Using a phone to transfer money</v>
      </c>
      <c r="C1230" s="96" t="s">
        <v>1481</v>
      </c>
      <c r="D1230" s="54" t="s">
        <v>38</v>
      </c>
      <c r="E1230" s="53">
        <v>2</v>
      </c>
      <c r="F1230" s="101">
        <f t="shared" si="299"/>
        <v>1701</v>
      </c>
      <c r="G1230" s="101">
        <f t="shared" si="300"/>
        <v>1702</v>
      </c>
      <c r="H1230" s="114" t="s">
        <v>1476</v>
      </c>
      <c r="I1230" s="110" t="str">
        <f>LEFT(A1230,3) &amp; "_" &amp;RIGHT(A1230,1)</f>
        <v>GQ8_1</v>
      </c>
    </row>
    <row r="1231" spans="1:9" ht="51" x14ac:dyDescent="0.25">
      <c r="A1231" s="110" t="s">
        <v>1489</v>
      </c>
      <c r="B1231" s="96" t="str">
        <f>A1231&amp;".(Mobile money) For each, please tell me if you are the one who is making decisions related to that transaction, without being told what to do by someone else? "&amp;"Using a phone to make a purchase"</f>
        <v>GQ8.2.(Mobile money) For each, please tell me if you are the one who is making decisions related to that transaction, without being told what to do by someone else? Using a phone to make a purchase</v>
      </c>
      <c r="C1231" s="96" t="s">
        <v>1481</v>
      </c>
      <c r="D1231" s="54" t="s">
        <v>38</v>
      </c>
      <c r="E1231" s="53">
        <v>2</v>
      </c>
      <c r="F1231" s="101">
        <f t="shared" si="299"/>
        <v>1703</v>
      </c>
      <c r="G1231" s="101">
        <f t="shared" si="300"/>
        <v>1704</v>
      </c>
      <c r="H1231" s="114" t="s">
        <v>1476</v>
      </c>
      <c r="I1231" s="110" t="str">
        <f>LEFT(A1231,3) &amp; "_" &amp;RIGHT(A1231,1)</f>
        <v>GQ8_2</v>
      </c>
    </row>
    <row r="1232" spans="1:9" ht="51" x14ac:dyDescent="0.25">
      <c r="A1232" s="110" t="s">
        <v>1490</v>
      </c>
      <c r="B1232" s="96" t="str">
        <f>A1232&amp;".(Mobile money) For each, please tell me if you are the one who is making decisions related to that transaction, without being told what to do by someone else? "&amp;"Using a phone to pay a bill"</f>
        <v>GQ8.3.(Mobile money) For each, please tell me if you are the one who is making decisions related to that transaction, without being told what to do by someone else? Using a phone to pay a bill</v>
      </c>
      <c r="C1232" s="96" t="s">
        <v>1481</v>
      </c>
      <c r="D1232" s="54" t="s">
        <v>38</v>
      </c>
      <c r="E1232" s="53">
        <v>2</v>
      </c>
      <c r="F1232" s="101">
        <f t="shared" si="299"/>
        <v>1705</v>
      </c>
      <c r="G1232" s="101">
        <f t="shared" si="300"/>
        <v>1706</v>
      </c>
      <c r="H1232" s="114" t="s">
        <v>1476</v>
      </c>
      <c r="I1232" s="110" t="str">
        <f>LEFT(A1232,3) &amp; "_" &amp;RIGHT(A1232,1)</f>
        <v>GQ8_3</v>
      </c>
    </row>
    <row r="1233" spans="1:9" ht="51" x14ac:dyDescent="0.25">
      <c r="A1233" s="110" t="s">
        <v>1491</v>
      </c>
      <c r="B1233" s="96" t="str">
        <f>A1233&amp;".How concerned are you about a mobile money provider keeping your financial information private?"</f>
        <v>GQ9.How concerned are you about a mobile money provider keeping your financial information private?</v>
      </c>
      <c r="C1233" s="96" t="s">
        <v>1492</v>
      </c>
      <c r="D1233" s="54" t="s">
        <v>38</v>
      </c>
      <c r="E1233" s="53">
        <v>1</v>
      </c>
      <c r="F1233" s="101">
        <f t="shared" si="299"/>
        <v>1707</v>
      </c>
      <c r="G1233" s="101">
        <f t="shared" si="300"/>
        <v>1707</v>
      </c>
      <c r="H1233" s="114" t="s">
        <v>1476</v>
      </c>
      <c r="I1233" s="110" t="str">
        <f>A1233</f>
        <v>GQ9</v>
      </c>
    </row>
    <row r="1234" spans="1:9" ht="51" x14ac:dyDescent="0.25">
      <c r="A1234" s="110" t="s">
        <v>1493</v>
      </c>
      <c r="B1234" s="96" t="str">
        <f>A1234&amp;".In your opinion, which is better for ensuring your spending decisions are kept private at the time of the transaction: cash or mobile money?"</f>
        <v>GQ10.In your opinion, which is better for ensuring your spending decisions are kept private at the time of the transaction: cash or mobile money?</v>
      </c>
      <c r="C1234" s="96" t="s">
        <v>1494</v>
      </c>
      <c r="D1234" s="54" t="s">
        <v>38</v>
      </c>
      <c r="E1234" s="53">
        <v>2</v>
      </c>
      <c r="F1234" s="101">
        <f t="shared" si="299"/>
        <v>1708</v>
      </c>
      <c r="G1234" s="101">
        <f t="shared" si="300"/>
        <v>1709</v>
      </c>
      <c r="H1234" s="114" t="s">
        <v>1476</v>
      </c>
      <c r="I1234" s="110" t="str">
        <f>A1234</f>
        <v>GQ10</v>
      </c>
    </row>
    <row r="1235" spans="1:9" s="3" customFormat="1" ht="51" x14ac:dyDescent="0.25">
      <c r="A1235" s="110" t="s">
        <v>1495</v>
      </c>
      <c r="B1235" s="96" t="str">
        <f>A1235&amp;".In your opinion, which of these guarantee that only you decide how your money is spent: cash or mobile money?"</f>
        <v>GQ11.In your opinion, which of these guarantee that only you decide how your money is spent: cash or mobile money?</v>
      </c>
      <c r="C1235" s="96" t="s">
        <v>1494</v>
      </c>
      <c r="D1235" s="54" t="s">
        <v>38</v>
      </c>
      <c r="E1235" s="53">
        <v>2</v>
      </c>
      <c r="F1235" s="101">
        <f t="shared" si="299"/>
        <v>1710</v>
      </c>
      <c r="G1235" s="101">
        <f t="shared" si="300"/>
        <v>1711</v>
      </c>
      <c r="H1235" s="114" t="s">
        <v>1476</v>
      </c>
      <c r="I1235" s="110" t="str">
        <f>A1235</f>
        <v>GQ11</v>
      </c>
    </row>
    <row r="1236" spans="1:9" ht="51" x14ac:dyDescent="0.25">
      <c r="A1236" s="110" t="s">
        <v>1496</v>
      </c>
      <c r="B1236" s="96" t="str">
        <f>A1236&amp;".In your opinion, which of these guarantee that no one else can access your money: cash or mobile money?"</f>
        <v>GQ12.In your opinion, which of these guarantee that no one else can access your money: cash or mobile money?</v>
      </c>
      <c r="C1236" s="96" t="s">
        <v>1494</v>
      </c>
      <c r="D1236" s="54" t="s">
        <v>38</v>
      </c>
      <c r="E1236" s="53">
        <v>2</v>
      </c>
      <c r="F1236" s="101">
        <f t="shared" si="299"/>
        <v>1712</v>
      </c>
      <c r="G1236" s="101">
        <f t="shared" si="300"/>
        <v>1713</v>
      </c>
      <c r="H1236" s="114" t="s">
        <v>1476</v>
      </c>
      <c r="I1236" s="110" t="str">
        <f>A1236</f>
        <v>GQ12</v>
      </c>
    </row>
    <row r="1237" spans="1:9" ht="51" x14ac:dyDescent="0.25">
      <c r="A1237" s="101" t="s">
        <v>1497</v>
      </c>
      <c r="B1237" s="90" t="str">
        <f>A1237&amp;"(Bank) For each, please tell me if you feel that your financial activities are kept private at the time of the transaction? "&amp;"Adding cash to your account with an ATM"</f>
        <v>GQ13.1(Bank) For each, please tell me if you feel that your financial activities are kept private at the time of the transaction? Adding cash to your account with an ATM</v>
      </c>
      <c r="C1237" s="90" t="s">
        <v>1475</v>
      </c>
      <c r="D1237" s="53" t="s">
        <v>38</v>
      </c>
      <c r="E1237" s="53">
        <v>2</v>
      </c>
      <c r="F1237" s="101">
        <f t="shared" si="299"/>
        <v>1714</v>
      </c>
      <c r="G1237" s="101">
        <f t="shared" si="300"/>
        <v>1715</v>
      </c>
      <c r="H1237" s="114" t="s">
        <v>1498</v>
      </c>
      <c r="I1237" s="101" t="str">
        <f>LEFT(A1237,4) &amp; "_" &amp;RIGHT(A1237,1)</f>
        <v>GQ13_1</v>
      </c>
    </row>
    <row r="1238" spans="1:9" ht="51" x14ac:dyDescent="0.25">
      <c r="A1238" s="110" t="s">
        <v>1499</v>
      </c>
      <c r="B1238" s="90" t="str">
        <f>A1238&amp;"(Bank) For each, please tell me if you feel that your financial activities are kept private at the time of the transaction? "&amp;"Going to a bank branch/bank agent to open an account"</f>
        <v>GQ13.2(Bank) For each, please tell me if you feel that your financial activities are kept private at the time of the transaction? Going to a bank branch/bank agent to open an account</v>
      </c>
      <c r="C1238" s="96" t="s">
        <v>1475</v>
      </c>
      <c r="D1238" s="54" t="s">
        <v>38</v>
      </c>
      <c r="E1238" s="53">
        <v>2</v>
      </c>
      <c r="F1238" s="101">
        <f t="shared" si="299"/>
        <v>1716</v>
      </c>
      <c r="G1238" s="101">
        <f t="shared" si="300"/>
        <v>1717</v>
      </c>
      <c r="H1238" s="114" t="s">
        <v>1498</v>
      </c>
      <c r="I1238" s="110" t="str">
        <f t="shared" ref="I1238:I1250" si="305">LEFT(A1238,4) &amp; "_" &amp;RIGHT(A1238,1)</f>
        <v>GQ13_2</v>
      </c>
    </row>
    <row r="1239" spans="1:9" ht="51" x14ac:dyDescent="0.25">
      <c r="A1239" s="110" t="s">
        <v>1500</v>
      </c>
      <c r="B1239" s="90" t="str">
        <f>A1239&amp;"(Bank) For each, please tell me if you feel that your financial activities are kept private at the time of the transaction? "&amp;"Talking to a bank branch/bank agent about your finances"</f>
        <v>GQ13.3(Bank) For each, please tell me if you feel that your financial activities are kept private at the time of the transaction? Talking to a bank branch/bank agent about your finances</v>
      </c>
      <c r="C1239" s="96" t="s">
        <v>1475</v>
      </c>
      <c r="D1239" s="54" t="s">
        <v>38</v>
      </c>
      <c r="E1239" s="53">
        <v>2</v>
      </c>
      <c r="F1239" s="101">
        <f t="shared" si="299"/>
        <v>1718</v>
      </c>
      <c r="G1239" s="101">
        <f t="shared" si="300"/>
        <v>1719</v>
      </c>
      <c r="H1239" s="114" t="s">
        <v>1498</v>
      </c>
      <c r="I1239" s="110" t="str">
        <f t="shared" si="305"/>
        <v>GQ13_3</v>
      </c>
    </row>
    <row r="1240" spans="1:9" ht="51" x14ac:dyDescent="0.25">
      <c r="A1240" s="110" t="s">
        <v>1501</v>
      </c>
      <c r="B1240" s="90" t="str">
        <f>A1240&amp;"(Bank) For each, please tell me if you feel that your financial activities are kept private at the time of the transaction? "&amp;"Withdrawing cash from your account with an ATM"</f>
        <v>GQ13.4(Bank) For each, please tell me if you feel that your financial activities are kept private at the time of the transaction? Withdrawing cash from your account with an ATM</v>
      </c>
      <c r="C1240" s="96" t="s">
        <v>1475</v>
      </c>
      <c r="D1240" s="54" t="s">
        <v>38</v>
      </c>
      <c r="E1240" s="53">
        <v>2</v>
      </c>
      <c r="F1240" s="101">
        <f t="shared" si="299"/>
        <v>1720</v>
      </c>
      <c r="G1240" s="101">
        <f t="shared" si="300"/>
        <v>1721</v>
      </c>
      <c r="H1240" s="114" t="s">
        <v>1498</v>
      </c>
      <c r="I1240" s="110" t="str">
        <f t="shared" si="305"/>
        <v>GQ13_4</v>
      </c>
    </row>
    <row r="1241" spans="1:9" ht="51" x14ac:dyDescent="0.25">
      <c r="A1241" s="110" t="s">
        <v>1502</v>
      </c>
      <c r="B1241" s="96" t="str">
        <f>A1241&amp;".(Bank)For each, please tell me if you are the one who is making decisions related to that transaction, without being told what to do by someone else? "&amp;"Adding cash to your account with an ATM"</f>
        <v>GQ14.1.(Bank)For each, please tell me if you are the one who is making decisions related to that transaction, without being told what to do by someone else? Adding cash to your account with an ATM</v>
      </c>
      <c r="C1241" s="96" t="s">
        <v>1481</v>
      </c>
      <c r="D1241" s="54" t="s">
        <v>38</v>
      </c>
      <c r="E1241" s="53">
        <v>2</v>
      </c>
      <c r="F1241" s="101">
        <f t="shared" si="299"/>
        <v>1722</v>
      </c>
      <c r="G1241" s="101">
        <f t="shared" si="300"/>
        <v>1723</v>
      </c>
      <c r="H1241" s="114" t="s">
        <v>1498</v>
      </c>
      <c r="I1241" s="110" t="str">
        <f t="shared" si="305"/>
        <v>GQ14_1</v>
      </c>
    </row>
    <row r="1242" spans="1:9" ht="51" x14ac:dyDescent="0.25">
      <c r="A1242" s="110" t="s">
        <v>1503</v>
      </c>
      <c r="B1242" s="96" t="str">
        <f>A1242&amp;".(Bank)For each, please tell me if you are the one who is making decisions related to that transaction, without being told what to do by someone else? "&amp;"Going to a bank branch/bank agent to open an account"</f>
        <v>GQ14.2.(Bank)For each, please tell me if you are the one who is making decisions related to that transaction, without being told what to do by someone else? Going to a bank branch/bank agent to open an account</v>
      </c>
      <c r="C1242" s="96" t="s">
        <v>1481</v>
      </c>
      <c r="D1242" s="54" t="s">
        <v>38</v>
      </c>
      <c r="E1242" s="53">
        <v>2</v>
      </c>
      <c r="F1242" s="101">
        <f t="shared" si="299"/>
        <v>1724</v>
      </c>
      <c r="G1242" s="101">
        <f t="shared" si="300"/>
        <v>1725</v>
      </c>
      <c r="H1242" s="114" t="s">
        <v>1498</v>
      </c>
      <c r="I1242" s="110" t="str">
        <f t="shared" si="305"/>
        <v>GQ14_2</v>
      </c>
    </row>
    <row r="1243" spans="1:9" ht="51" x14ac:dyDescent="0.25">
      <c r="A1243" s="110" t="s">
        <v>1504</v>
      </c>
      <c r="B1243" s="96" t="str">
        <f>A1243&amp;".(Bank)For each, please tell me if you are the one who is making decisions related to that transaction, without being told what to do by someone else? "&amp;"Talking to a bank branch/bank agent about your finances"</f>
        <v>GQ14.3.(Bank)For each, please tell me if you are the one who is making decisions related to that transaction, without being told what to do by someone else? Talking to a bank branch/bank agent about your finances</v>
      </c>
      <c r="C1243" s="96" t="s">
        <v>1481</v>
      </c>
      <c r="D1243" s="54" t="s">
        <v>38</v>
      </c>
      <c r="E1243" s="53">
        <v>2</v>
      </c>
      <c r="F1243" s="101">
        <f t="shared" si="299"/>
        <v>1726</v>
      </c>
      <c r="G1243" s="101">
        <f t="shared" si="300"/>
        <v>1727</v>
      </c>
      <c r="H1243" s="114" t="s">
        <v>1498</v>
      </c>
      <c r="I1243" s="110" t="str">
        <f t="shared" si="305"/>
        <v>GQ14_3</v>
      </c>
    </row>
    <row r="1244" spans="1:9" ht="51" x14ac:dyDescent="0.25">
      <c r="A1244" s="110" t="s">
        <v>1505</v>
      </c>
      <c r="B1244" s="96" t="str">
        <f>A1244&amp;".(Bank)For each, please tell me if you are the one who is making decisions related to that transaction, without being told what to do by someone else? "&amp;"Withdrawing cash from your account with an ATM"</f>
        <v>GQ14.4.(Bank)For each, please tell me if you are the one who is making decisions related to that transaction, without being told what to do by someone else? Withdrawing cash from your account with an ATM</v>
      </c>
      <c r="C1244" s="96" t="s">
        <v>1481</v>
      </c>
      <c r="D1244" s="54" t="s">
        <v>38</v>
      </c>
      <c r="E1244" s="53">
        <v>2</v>
      </c>
      <c r="F1244" s="101">
        <f t="shared" si="299"/>
        <v>1728</v>
      </c>
      <c r="G1244" s="101">
        <f t="shared" si="300"/>
        <v>1729</v>
      </c>
      <c r="H1244" s="114" t="s">
        <v>1498</v>
      </c>
      <c r="I1244" s="110" t="str">
        <f>LEFT(A1244,4) &amp; "_" &amp;RIGHT(A1244,1)</f>
        <v>GQ14_4</v>
      </c>
    </row>
    <row r="1245" spans="1:9" ht="51" x14ac:dyDescent="0.25">
      <c r="A1245" s="110" t="s">
        <v>1506</v>
      </c>
      <c r="B1245" s="96" t="str">
        <f>A1245&amp;".(Bank)For each, please tell me if you feel that your financial activities are kept private at the time of the transaction? "&amp;"Using a phone to transfer money"</f>
        <v>GQ15.1.(Bank)For each, please tell me if you feel that your financial activities are kept private at the time of the transaction? Using a phone to transfer money</v>
      </c>
      <c r="C1245" s="96" t="s">
        <v>1475</v>
      </c>
      <c r="D1245" s="54" t="s">
        <v>38</v>
      </c>
      <c r="E1245" s="53">
        <v>2</v>
      </c>
      <c r="F1245" s="101">
        <f t="shared" si="299"/>
        <v>1730</v>
      </c>
      <c r="G1245" s="101">
        <f t="shared" si="300"/>
        <v>1731</v>
      </c>
      <c r="H1245" s="114" t="s">
        <v>1498</v>
      </c>
      <c r="I1245" s="110" t="str">
        <f t="shared" si="305"/>
        <v>GQ15_1</v>
      </c>
    </row>
    <row r="1246" spans="1:9" ht="51" x14ac:dyDescent="0.25">
      <c r="A1246" s="110" t="s">
        <v>1507</v>
      </c>
      <c r="B1246" s="96" t="str">
        <f>A1246&amp;".(Bank)For each, please tell me if you feel that your financial activities are kept private at the time of the transaction? "&amp;"Using a phone to make a purchase"</f>
        <v>GQ15.2.(Bank)For each, please tell me if you feel that your financial activities are kept private at the time of the transaction? Using a phone to make a purchase</v>
      </c>
      <c r="C1246" s="96" t="s">
        <v>1475</v>
      </c>
      <c r="D1246" s="54" t="s">
        <v>38</v>
      </c>
      <c r="E1246" s="53">
        <v>2</v>
      </c>
      <c r="F1246" s="101">
        <f t="shared" si="299"/>
        <v>1732</v>
      </c>
      <c r="G1246" s="101">
        <f t="shared" si="300"/>
        <v>1733</v>
      </c>
      <c r="H1246" s="114" t="s">
        <v>1498</v>
      </c>
      <c r="I1246" s="110" t="str">
        <f t="shared" si="305"/>
        <v>GQ15_2</v>
      </c>
    </row>
    <row r="1247" spans="1:9" ht="51" x14ac:dyDescent="0.25">
      <c r="A1247" s="110" t="s">
        <v>1508</v>
      </c>
      <c r="B1247" s="96" t="str">
        <f>A1247&amp;".(Bank)For each, please tell me if you feel that your financial activities are kept private at the time of the transaction? "&amp;"Using a phone to pay a bill"</f>
        <v>GQ15.3.(Bank)For each, please tell me if you feel that your financial activities are kept private at the time of the transaction? Using a phone to pay a bill</v>
      </c>
      <c r="C1247" s="96" t="s">
        <v>1475</v>
      </c>
      <c r="D1247" s="54" t="s">
        <v>38</v>
      </c>
      <c r="E1247" s="53">
        <v>2</v>
      </c>
      <c r="F1247" s="101">
        <f t="shared" si="299"/>
        <v>1734</v>
      </c>
      <c r="G1247" s="101">
        <f t="shared" si="300"/>
        <v>1735</v>
      </c>
      <c r="H1247" s="114" t="s">
        <v>1498</v>
      </c>
      <c r="I1247" s="110" t="str">
        <f t="shared" si="305"/>
        <v>GQ15_3</v>
      </c>
    </row>
    <row r="1248" spans="1:9" ht="51" x14ac:dyDescent="0.25">
      <c r="A1248" s="110" t="s">
        <v>1509</v>
      </c>
      <c r="B1248" s="96" t="str">
        <f>A1248&amp;".(Bank)For each, please tell me if you are the one who is making decisions related to that transaction, without being told what to do by someone else? "&amp;"Using a phone to transfer money"</f>
        <v>GQ16.1.(Bank)For each, please tell me if you are the one who is making decisions related to that transaction, without being told what to do by someone else? Using a phone to transfer money</v>
      </c>
      <c r="C1248" s="96" t="s">
        <v>1510</v>
      </c>
      <c r="D1248" s="54" t="s">
        <v>38</v>
      </c>
      <c r="E1248" s="53">
        <v>2</v>
      </c>
      <c r="F1248" s="101">
        <f t="shared" si="299"/>
        <v>1736</v>
      </c>
      <c r="G1248" s="101">
        <f t="shared" si="300"/>
        <v>1737</v>
      </c>
      <c r="H1248" s="114" t="s">
        <v>1498</v>
      </c>
      <c r="I1248" s="110" t="str">
        <f t="shared" si="305"/>
        <v>GQ16_1</v>
      </c>
    </row>
    <row r="1249" spans="1:9" ht="51" x14ac:dyDescent="0.25">
      <c r="A1249" s="110" t="s">
        <v>1511</v>
      </c>
      <c r="B1249" s="96" t="str">
        <f>A1249&amp;".(Bank)For each, please tell me if you are the one who is making decisions related to that transaction, without being told what to do by someone else? "&amp;"Using a phone to make a purchase"</f>
        <v>GQ16.2.(Bank)For each, please tell me if you are the one who is making decisions related to that transaction, without being told what to do by someone else? Using a phone to make a purchase</v>
      </c>
      <c r="C1249" s="96" t="s">
        <v>1510</v>
      </c>
      <c r="D1249" s="54" t="s">
        <v>38</v>
      </c>
      <c r="E1249" s="115">
        <v>2</v>
      </c>
      <c r="F1249" s="101">
        <f t="shared" si="299"/>
        <v>1738</v>
      </c>
      <c r="G1249" s="101">
        <f t="shared" si="300"/>
        <v>1739</v>
      </c>
      <c r="H1249" s="114" t="s">
        <v>1498</v>
      </c>
      <c r="I1249" s="110" t="str">
        <f t="shared" si="305"/>
        <v>GQ16_2</v>
      </c>
    </row>
    <row r="1250" spans="1:9" ht="51" x14ac:dyDescent="0.25">
      <c r="A1250" s="110" t="s">
        <v>1512</v>
      </c>
      <c r="B1250" s="96" t="str">
        <f>A1250&amp;".(Bank)For each, please tell me if you are the one who is making decisions related to that transaction, without being told what to do by someone else? "&amp;"Using a phone to pay a bill"</f>
        <v>GQ16.3.(Bank)For each, please tell me if you are the one who is making decisions related to that transaction, without being told what to do by someone else? Using a phone to pay a bill</v>
      </c>
      <c r="C1250" s="90" t="s">
        <v>1510</v>
      </c>
      <c r="D1250" s="87" t="s">
        <v>38</v>
      </c>
      <c r="E1250" s="67">
        <v>2</v>
      </c>
      <c r="F1250" s="67">
        <f t="shared" si="299"/>
        <v>1740</v>
      </c>
      <c r="G1250" s="67">
        <f t="shared" si="300"/>
        <v>1741</v>
      </c>
      <c r="H1250" s="114" t="s">
        <v>1498</v>
      </c>
      <c r="I1250" s="110" t="str">
        <f t="shared" si="305"/>
        <v>GQ16_3</v>
      </c>
    </row>
    <row r="1251" spans="1:9" ht="51" x14ac:dyDescent="0.25">
      <c r="A1251" s="110" t="s">
        <v>1513</v>
      </c>
      <c r="B1251" s="96" t="str">
        <f>A1251&amp;".How concerned are you about a bank keeping your financial information private?"</f>
        <v>GQ17.How concerned are you about a bank keeping your financial information private?</v>
      </c>
      <c r="C1251" s="90" t="s">
        <v>1492</v>
      </c>
      <c r="D1251" s="87" t="s">
        <v>38</v>
      </c>
      <c r="E1251" s="113">
        <v>1</v>
      </c>
      <c r="F1251" s="113">
        <f t="shared" si="299"/>
        <v>1742</v>
      </c>
      <c r="G1251" s="113">
        <f t="shared" si="300"/>
        <v>1742</v>
      </c>
      <c r="H1251" s="114" t="s">
        <v>1498</v>
      </c>
      <c r="I1251" s="110" t="str">
        <f>A1251</f>
        <v>GQ17</v>
      </c>
    </row>
    <row r="1252" spans="1:9" ht="51" x14ac:dyDescent="0.25">
      <c r="A1252" s="110" t="s">
        <v>1514</v>
      </c>
      <c r="B1252" s="96" t="str">
        <f>A1252&amp;".In your opinion, which is better for ensuring your spending decisions are kept private at the time of the transaction: cash or bank accounts?"</f>
        <v>GQ18.In your opinion, which is better for ensuring your spending decisions are kept private at the time of the transaction: cash or bank accounts?</v>
      </c>
      <c r="C1252" s="90" t="s">
        <v>1515</v>
      </c>
      <c r="D1252" s="87" t="s">
        <v>38</v>
      </c>
      <c r="E1252" s="67">
        <v>2</v>
      </c>
      <c r="F1252" s="67">
        <f t="shared" si="299"/>
        <v>1743</v>
      </c>
      <c r="G1252" s="67">
        <f t="shared" si="300"/>
        <v>1744</v>
      </c>
      <c r="H1252" s="114" t="s">
        <v>1498</v>
      </c>
      <c r="I1252" s="110" t="str">
        <f>A1252</f>
        <v>GQ18</v>
      </c>
    </row>
    <row r="1253" spans="1:9" ht="51" x14ac:dyDescent="0.25">
      <c r="A1253" s="110" t="s">
        <v>1516</v>
      </c>
      <c r="B1253" s="96" t="str">
        <f>A1253&amp;".In your opinion, which of these guarantee that only you decide how your money is spent: cash or bank accounts?"</f>
        <v>GQ19.In your opinion, which of these guarantee that only you decide how your money is spent: cash or bank accounts?</v>
      </c>
      <c r="C1253" s="90" t="s">
        <v>1515</v>
      </c>
      <c r="D1253" s="54" t="s">
        <v>38</v>
      </c>
      <c r="E1253" s="99">
        <v>2</v>
      </c>
      <c r="F1253" s="101">
        <f t="shared" si="299"/>
        <v>1745</v>
      </c>
      <c r="G1253" s="101">
        <f t="shared" si="300"/>
        <v>1746</v>
      </c>
      <c r="H1253" s="114" t="s">
        <v>1498</v>
      </c>
      <c r="I1253" s="110" t="str">
        <f>A1253</f>
        <v>GQ19</v>
      </c>
    </row>
    <row r="1254" spans="1:9" ht="51" x14ac:dyDescent="0.25">
      <c r="A1254" s="110" t="s">
        <v>1517</v>
      </c>
      <c r="B1254" s="96" t="str">
        <f>A1254&amp;".In your opinion, which of these guarantee that no one else can access your money: cash or bank accounts?"</f>
        <v>GQ20.In your opinion, which of these guarantee that no one else can access your money: cash or bank accounts?</v>
      </c>
      <c r="C1254" s="90" t="s">
        <v>1515</v>
      </c>
      <c r="D1254" s="54" t="s">
        <v>38</v>
      </c>
      <c r="E1254" s="53">
        <v>2</v>
      </c>
      <c r="F1254" s="101">
        <f t="shared" si="299"/>
        <v>1747</v>
      </c>
      <c r="G1254" s="101">
        <f t="shared" si="300"/>
        <v>1748</v>
      </c>
      <c r="H1254" s="114" t="s">
        <v>1498</v>
      </c>
      <c r="I1254" s="110" t="str">
        <f>A1254</f>
        <v>GQ20</v>
      </c>
    </row>
    <row r="1255" spans="1:9" x14ac:dyDescent="0.25">
      <c r="A1255" s="121" t="s">
        <v>1452</v>
      </c>
      <c r="B1255" s="122" t="s">
        <v>1452</v>
      </c>
      <c r="C1255" s="122" t="s">
        <v>1452</v>
      </c>
      <c r="D1255" s="122" t="s">
        <v>1452</v>
      </c>
      <c r="E1255" s="122" t="s">
        <v>1452</v>
      </c>
      <c r="F1255" s="122" t="s">
        <v>1452</v>
      </c>
      <c r="G1255" s="122" t="s">
        <v>1452</v>
      </c>
      <c r="H1255" s="122" t="s">
        <v>1452</v>
      </c>
      <c r="I1255" s="123" t="s">
        <v>1452</v>
      </c>
    </row>
    <row r="1256" spans="1:9" x14ac:dyDescent="0.25">
      <c r="A1256" s="51" t="s">
        <v>4</v>
      </c>
      <c r="B1256" s="52" t="s">
        <v>5</v>
      </c>
      <c r="C1256" s="52" t="s">
        <v>6</v>
      </c>
      <c r="D1256" s="51" t="s">
        <v>7</v>
      </c>
      <c r="E1256" s="52" t="s">
        <v>8</v>
      </c>
      <c r="F1256" s="52" t="s">
        <v>9</v>
      </c>
      <c r="G1256" s="52" t="s">
        <v>10</v>
      </c>
      <c r="H1256" s="52" t="s">
        <v>11</v>
      </c>
      <c r="I1256" s="51" t="s">
        <v>12</v>
      </c>
    </row>
    <row r="1257" spans="1:9" ht="25.5" x14ac:dyDescent="0.25">
      <c r="A1257" s="101" t="s">
        <v>1518</v>
      </c>
      <c r="B1257" s="90" t="str">
        <f>A1257&amp;".Would you consent to taking part in a follow up study with us?"</f>
        <v>RI4.Would you consent to taking part in a follow up study with us?</v>
      </c>
      <c r="C1257" s="96" t="s">
        <v>142</v>
      </c>
      <c r="D1257" s="54" t="s">
        <v>38</v>
      </c>
      <c r="E1257" s="101">
        <v>1</v>
      </c>
      <c r="F1257" s="101">
        <f>G1254+1</f>
        <v>1749</v>
      </c>
      <c r="G1257" s="101">
        <f>G1254+E1257</f>
        <v>1749</v>
      </c>
      <c r="H1257" s="10" t="s">
        <v>17</v>
      </c>
      <c r="I1257" s="110" t="str">
        <f>A1257</f>
        <v>RI4</v>
      </c>
    </row>
    <row r="1258" spans="1:9" ht="25.5" x14ac:dyDescent="0.25">
      <c r="A1258" s="101" t="s">
        <v>1519</v>
      </c>
      <c r="B1258" s="96" t="str">
        <f>A1258&amp;".Can you give me all the mobile phone numbers you use regularly to make or to receive calls and text messages? No 1. Phone number "</f>
        <v xml:space="preserve">RI5.1.Can you give me all the mobile phone numbers you use regularly to make or to receive calls and text messages? No 1. Phone number </v>
      </c>
      <c r="C1258" s="96" t="s">
        <v>83</v>
      </c>
      <c r="D1258" s="54" t="s">
        <v>50</v>
      </c>
      <c r="E1258" s="101">
        <v>13</v>
      </c>
      <c r="F1258" s="101">
        <f>G1257+1</f>
        <v>1750</v>
      </c>
      <c r="G1258" s="101">
        <f>G1257+E1258</f>
        <v>1762</v>
      </c>
      <c r="H1258" s="10" t="s">
        <v>17</v>
      </c>
      <c r="I1258" s="110" t="str">
        <f t="shared" ref="I1258:I1274" si="306">LEFT(A1258,3) &amp; "_" &amp;RIGHT(A1258,1)</f>
        <v>RI5_1</v>
      </c>
    </row>
    <row r="1259" spans="1:9" ht="25.5" x14ac:dyDescent="0.25">
      <c r="A1259" s="101" t="s">
        <v>1520</v>
      </c>
      <c r="B1259" s="96" t="str">
        <f>A1259&amp;".Can you give me all the mobile phone numbers you use regularly to make or to receive calls and text messages? No 2. Phone number "</f>
        <v xml:space="preserve">RI5.2.Can you give me all the mobile phone numbers you use regularly to make or to receive calls and text messages? No 2. Phone number </v>
      </c>
      <c r="C1259" s="96" t="s">
        <v>83</v>
      </c>
      <c r="D1259" s="54" t="s">
        <v>50</v>
      </c>
      <c r="E1259" s="101">
        <v>13</v>
      </c>
      <c r="F1259" s="101">
        <f t="shared" ref="F1259:F1281" si="307">G1258+1</f>
        <v>1763</v>
      </c>
      <c r="G1259" s="101">
        <f t="shared" ref="G1259:G1281" si="308">G1258+E1259</f>
        <v>1775</v>
      </c>
      <c r="H1259" s="10" t="s">
        <v>17</v>
      </c>
      <c r="I1259" s="110" t="str">
        <f t="shared" si="306"/>
        <v>RI5_2</v>
      </c>
    </row>
    <row r="1260" spans="1:9" ht="25.5" x14ac:dyDescent="0.25">
      <c r="A1260" s="101" t="s">
        <v>1521</v>
      </c>
      <c r="B1260" s="96" t="str">
        <f>A1260&amp;".Can you give me all the mobile phone numbers you use regularly to make or to receive calls and text messages? No 3. Phone number "</f>
        <v xml:space="preserve">RI5.3.Can you give me all the mobile phone numbers you use regularly to make or to receive calls and text messages? No 3. Phone number </v>
      </c>
      <c r="C1260" s="90" t="s">
        <v>83</v>
      </c>
      <c r="D1260" s="53" t="s">
        <v>50</v>
      </c>
      <c r="E1260" s="101">
        <v>13</v>
      </c>
      <c r="F1260" s="101">
        <f t="shared" si="307"/>
        <v>1776</v>
      </c>
      <c r="G1260" s="101">
        <f t="shared" si="308"/>
        <v>1788</v>
      </c>
      <c r="H1260" s="3" t="s">
        <v>17</v>
      </c>
      <c r="I1260" s="110" t="str">
        <f t="shared" si="306"/>
        <v>RI5_3</v>
      </c>
    </row>
    <row r="1261" spans="1:9" ht="102" x14ac:dyDescent="0.25">
      <c r="A1261" s="101" t="s">
        <v>1522</v>
      </c>
      <c r="B1261" s="96" t="str">
        <f>A1261&amp;" How many of those calls and messages are made by you and how many by others? "&amp;"From the No.1 Phone"</f>
        <v>RI6.1 How many of those calls and messages are made by you and how many by others? From the No.1 Phone</v>
      </c>
      <c r="C1261" s="90" t="s">
        <v>1523</v>
      </c>
      <c r="D1261" s="53" t="s">
        <v>38</v>
      </c>
      <c r="E1261" s="101">
        <v>1</v>
      </c>
      <c r="F1261" s="101">
        <f t="shared" si="307"/>
        <v>1789</v>
      </c>
      <c r="G1261" s="101">
        <f t="shared" si="308"/>
        <v>1789</v>
      </c>
      <c r="H1261" s="116" t="s">
        <v>1524</v>
      </c>
      <c r="I1261" s="110" t="str">
        <f t="shared" si="306"/>
        <v>RI6_1</v>
      </c>
    </row>
    <row r="1262" spans="1:9" ht="102" x14ac:dyDescent="0.25">
      <c r="A1262" s="101" t="s">
        <v>1525</v>
      </c>
      <c r="B1262" s="96" t="str">
        <f>A1262&amp;" How many of those calls and messages are made by you and how many by others? "&amp;"From the No.2 Phone"</f>
        <v>RI6.2 How many of those calls and messages are made by you and how many by others? From the No.2 Phone</v>
      </c>
      <c r="C1262" s="90" t="s">
        <v>1523</v>
      </c>
      <c r="D1262" s="53" t="s">
        <v>38</v>
      </c>
      <c r="E1262" s="101">
        <v>1</v>
      </c>
      <c r="F1262" s="101">
        <f t="shared" si="307"/>
        <v>1790</v>
      </c>
      <c r="G1262" s="101">
        <f t="shared" si="308"/>
        <v>1790</v>
      </c>
      <c r="H1262" s="119" t="s">
        <v>1526</v>
      </c>
      <c r="I1262" s="110" t="str">
        <f t="shared" si="306"/>
        <v>RI6_2</v>
      </c>
    </row>
    <row r="1263" spans="1:9" ht="102" x14ac:dyDescent="0.25">
      <c r="A1263" s="101" t="s">
        <v>1527</v>
      </c>
      <c r="B1263" s="96" t="str">
        <f>A1263&amp;" How many of those calls and messages are made by you and how many by others? "&amp;"From the No.3 Phone"</f>
        <v>RI6.3 How many of those calls and messages are made by you and how many by others? From the No.3 Phone</v>
      </c>
      <c r="C1263" s="90" t="s">
        <v>1523</v>
      </c>
      <c r="D1263" s="53" t="s">
        <v>38</v>
      </c>
      <c r="E1263" s="101">
        <v>1</v>
      </c>
      <c r="F1263" s="101">
        <f t="shared" si="307"/>
        <v>1791</v>
      </c>
      <c r="G1263" s="101">
        <f t="shared" si="308"/>
        <v>1791</v>
      </c>
      <c r="H1263" s="119" t="s">
        <v>1528</v>
      </c>
      <c r="I1263" s="110" t="str">
        <f t="shared" si="306"/>
        <v>RI6_3</v>
      </c>
    </row>
    <row r="1264" spans="1:9" ht="102" x14ac:dyDescent="0.25">
      <c r="A1264" s="101" t="s">
        <v>1529</v>
      </c>
      <c r="B1264" s="96" t="str">
        <f>A1264&amp;".How many of those calls and messages are for you and how many are for others? "&amp;" From No.1 PHONE"</f>
        <v>RI7.1.How many of those calls and messages are for you and how many are for others?  From No.1 PHONE</v>
      </c>
      <c r="C1264" s="90" t="s">
        <v>1530</v>
      </c>
      <c r="D1264" s="53" t="s">
        <v>38</v>
      </c>
      <c r="E1264" s="101">
        <v>1</v>
      </c>
      <c r="F1264" s="101">
        <f t="shared" si="307"/>
        <v>1792</v>
      </c>
      <c r="G1264" s="101">
        <f t="shared" si="308"/>
        <v>1792</v>
      </c>
      <c r="H1264" s="116" t="s">
        <v>1524</v>
      </c>
      <c r="I1264" s="110" t="str">
        <f t="shared" si="306"/>
        <v>RI7_1</v>
      </c>
    </row>
    <row r="1265" spans="1:9" ht="102" x14ac:dyDescent="0.25">
      <c r="A1265" s="101" t="s">
        <v>1531</v>
      </c>
      <c r="B1265" s="96" t="str">
        <f>A1265&amp;".How many of those calls and messages are for you and how many are for others? "&amp;" From No.2 PHONE"</f>
        <v>RI7.2.How many of those calls and messages are for you and how many are for others?  From No.2 PHONE</v>
      </c>
      <c r="C1265" s="90" t="s">
        <v>1530</v>
      </c>
      <c r="D1265" s="53" t="s">
        <v>38</v>
      </c>
      <c r="E1265" s="101">
        <v>1</v>
      </c>
      <c r="F1265" s="101">
        <f t="shared" si="307"/>
        <v>1793</v>
      </c>
      <c r="G1265" s="101">
        <f t="shared" si="308"/>
        <v>1793</v>
      </c>
      <c r="H1265" s="119" t="s">
        <v>1526</v>
      </c>
      <c r="I1265" s="110" t="str">
        <f t="shared" si="306"/>
        <v>RI7_2</v>
      </c>
    </row>
    <row r="1266" spans="1:9" ht="102" x14ac:dyDescent="0.25">
      <c r="A1266" s="101" t="s">
        <v>1532</v>
      </c>
      <c r="B1266" s="96" t="str">
        <f>A1266&amp;".How many of those calls and messages are for you and how many are for others? "&amp;" From No.3 PHONE"</f>
        <v>RI7.3.How many of those calls and messages are for you and how many are for others?  From No.3 PHONE</v>
      </c>
      <c r="C1266" s="90" t="s">
        <v>1530</v>
      </c>
      <c r="D1266" s="53" t="s">
        <v>38</v>
      </c>
      <c r="E1266" s="101">
        <v>1</v>
      </c>
      <c r="F1266" s="101">
        <f t="shared" si="307"/>
        <v>1794</v>
      </c>
      <c r="G1266" s="101">
        <f t="shared" si="308"/>
        <v>1794</v>
      </c>
      <c r="H1266" s="119" t="s">
        <v>1528</v>
      </c>
      <c r="I1266" s="110" t="str">
        <f t="shared" si="306"/>
        <v>RI7_3</v>
      </c>
    </row>
    <row r="1267" spans="1:9" ht="63.75" x14ac:dyDescent="0.25">
      <c r="A1267" s="101" t="s">
        <v>1533</v>
      </c>
      <c r="B1267" s="96" t="str">
        <f>A1267&amp;" Who beside yourself, make or receive calls or messages on this phone number. " &amp;" Family member(s) in my household"</f>
        <v>RI8.1 Who beside yourself, make or receive calls or messages on this phone number.  Family member(s) in my household</v>
      </c>
      <c r="C1267" s="90" t="s">
        <v>142</v>
      </c>
      <c r="D1267" s="53" t="s">
        <v>38</v>
      </c>
      <c r="E1267" s="101">
        <v>1</v>
      </c>
      <c r="F1267" s="101">
        <f t="shared" si="307"/>
        <v>1795</v>
      </c>
      <c r="G1267" s="101">
        <f t="shared" si="308"/>
        <v>1795</v>
      </c>
      <c r="H1267" s="68" t="s">
        <v>1534</v>
      </c>
      <c r="I1267" s="110" t="str">
        <f t="shared" si="306"/>
        <v>RI8_1</v>
      </c>
    </row>
    <row r="1268" spans="1:9" ht="63.75" x14ac:dyDescent="0.25">
      <c r="A1268" s="101" t="s">
        <v>1535</v>
      </c>
      <c r="B1268" s="96" t="str">
        <f>A1268&amp;" Who beside yourself, make or receive calls or messages on this phone number. " &amp;" Family member(s)/ in a different household"</f>
        <v>RI8.2 Who beside yourself, make or receive calls or messages on this phone number.  Family member(s)/ in a different household</v>
      </c>
      <c r="C1268" s="90" t="s">
        <v>142</v>
      </c>
      <c r="D1268" s="53" t="s">
        <v>38</v>
      </c>
      <c r="E1268" s="101">
        <v>1</v>
      </c>
      <c r="F1268" s="101">
        <f t="shared" si="307"/>
        <v>1796</v>
      </c>
      <c r="G1268" s="101">
        <f t="shared" si="308"/>
        <v>1796</v>
      </c>
      <c r="H1268" s="68" t="s">
        <v>1534</v>
      </c>
      <c r="I1268" s="110" t="str">
        <f t="shared" si="306"/>
        <v>RI8_2</v>
      </c>
    </row>
    <row r="1269" spans="1:9" ht="63.75" x14ac:dyDescent="0.25">
      <c r="A1269" s="101" t="s">
        <v>1536</v>
      </c>
      <c r="B1269" s="96" t="str">
        <f>A1269&amp;" Who beside yourself, make or receive calls or messages on this phone number. " &amp;" Other relative(s) (Specify)"</f>
        <v>RI8.3 Who beside yourself, make or receive calls or messages on this phone number.  Other relative(s) (Specify)</v>
      </c>
      <c r="C1269" s="90" t="s">
        <v>142</v>
      </c>
      <c r="D1269" s="53" t="s">
        <v>38</v>
      </c>
      <c r="E1269" s="101">
        <v>1</v>
      </c>
      <c r="F1269" s="101">
        <f t="shared" si="307"/>
        <v>1797</v>
      </c>
      <c r="G1269" s="101">
        <f t="shared" si="308"/>
        <v>1797</v>
      </c>
      <c r="H1269" s="90" t="s">
        <v>1534</v>
      </c>
      <c r="I1269" s="110" t="str">
        <f t="shared" si="306"/>
        <v>RI8_3</v>
      </c>
    </row>
    <row r="1270" spans="1:9" ht="63.75" x14ac:dyDescent="0.25">
      <c r="A1270" s="110" t="s">
        <v>1537</v>
      </c>
      <c r="B1270" s="96" t="str">
        <f>A1270&amp;" Who beside yourself, make or receive calls or messages on this phone number. " &amp;" Workmate(s) or a business partner(s) "</f>
        <v xml:space="preserve">RI8.4 Who beside yourself, make or receive calls or messages on this phone number.  Workmate(s) or a business partner(s) </v>
      </c>
      <c r="C1270" s="90" t="s">
        <v>142</v>
      </c>
      <c r="D1270" s="53" t="s">
        <v>38</v>
      </c>
      <c r="E1270" s="101">
        <v>1</v>
      </c>
      <c r="F1270" s="101">
        <f t="shared" si="307"/>
        <v>1798</v>
      </c>
      <c r="G1270" s="101">
        <f t="shared" si="308"/>
        <v>1798</v>
      </c>
      <c r="H1270" s="90" t="s">
        <v>1534</v>
      </c>
      <c r="I1270" s="110" t="str">
        <f t="shared" si="306"/>
        <v>RI8_4</v>
      </c>
    </row>
    <row r="1271" spans="1:9" ht="63.75" x14ac:dyDescent="0.25">
      <c r="A1271" s="110" t="s">
        <v>1538</v>
      </c>
      <c r="B1271" s="96" t="str">
        <f>A1271&amp;" Who beside yourself, make or receive calls or messages on this phone number. " &amp;" Neighbor(s), not a relative"</f>
        <v>RI8.5 Who beside yourself, make or receive calls or messages on this phone number.  Neighbor(s), not a relative</v>
      </c>
      <c r="C1271" s="90" t="s">
        <v>142</v>
      </c>
      <c r="D1271" s="53" t="s">
        <v>38</v>
      </c>
      <c r="E1271" s="101">
        <v>1</v>
      </c>
      <c r="F1271" s="101">
        <f t="shared" si="307"/>
        <v>1799</v>
      </c>
      <c r="G1271" s="101">
        <f t="shared" si="308"/>
        <v>1799</v>
      </c>
      <c r="H1271" s="90" t="s">
        <v>1534</v>
      </c>
      <c r="I1271" s="110" t="str">
        <f t="shared" si="306"/>
        <v>RI8_5</v>
      </c>
    </row>
    <row r="1272" spans="1:9" ht="63.75" x14ac:dyDescent="0.25">
      <c r="A1272" s="110" t="s">
        <v>1539</v>
      </c>
      <c r="B1272" s="96" t="str">
        <f>A1272&amp;" Who beside yourself, make or receive calls or messages on this phone number. " &amp;" Mobile Operator’s agent/employee"</f>
        <v>RI8.6 Who beside yourself, make or receive calls or messages on this phone number.  Mobile Operator’s agent/employee</v>
      </c>
      <c r="C1272" s="90" t="s">
        <v>142</v>
      </c>
      <c r="D1272" s="53" t="s">
        <v>38</v>
      </c>
      <c r="E1272" s="101">
        <v>1</v>
      </c>
      <c r="F1272" s="101">
        <f t="shared" si="307"/>
        <v>1800</v>
      </c>
      <c r="G1272" s="101">
        <f t="shared" si="308"/>
        <v>1800</v>
      </c>
      <c r="H1272" s="90" t="s">
        <v>1534</v>
      </c>
      <c r="I1272" s="110" t="str">
        <f t="shared" si="306"/>
        <v>RI8_6</v>
      </c>
    </row>
    <row r="1273" spans="1:9" ht="63.75" x14ac:dyDescent="0.25">
      <c r="A1273" s="110" t="s">
        <v>1540</v>
      </c>
      <c r="B1273" s="96" t="str">
        <f>A1273&amp;" Who beside yourself, make or receive calls or messages on this phone number. " &amp;" Friend(s)"</f>
        <v>RI8.7 Who beside yourself, make or receive calls or messages on this phone number.  Friend(s)</v>
      </c>
      <c r="C1273" s="90" t="s">
        <v>142</v>
      </c>
      <c r="D1273" s="53" t="s">
        <v>38</v>
      </c>
      <c r="E1273" s="101">
        <v>1</v>
      </c>
      <c r="F1273" s="101">
        <f t="shared" si="307"/>
        <v>1801</v>
      </c>
      <c r="G1273" s="101">
        <f t="shared" si="308"/>
        <v>1801</v>
      </c>
      <c r="H1273" s="90" t="s">
        <v>1534</v>
      </c>
      <c r="I1273" s="110" t="str">
        <f t="shared" si="306"/>
        <v>RI8_7</v>
      </c>
    </row>
    <row r="1274" spans="1:9" ht="63.75" x14ac:dyDescent="0.25">
      <c r="A1274" s="110" t="s">
        <v>1541</v>
      </c>
      <c r="B1274" s="96" t="str">
        <f>A1274&amp;" Who beside yourself, make or receive calls or messages on this phone number. " &amp;" People who pay me to make or receive calls and messages"</f>
        <v>RI8.8 Who beside yourself, make or receive calls or messages on this phone number.  People who pay me to make or receive calls and messages</v>
      </c>
      <c r="C1274" s="90" t="s">
        <v>142</v>
      </c>
      <c r="D1274" s="53" t="s">
        <v>38</v>
      </c>
      <c r="E1274" s="101">
        <v>1</v>
      </c>
      <c r="F1274" s="101">
        <f t="shared" si="307"/>
        <v>1802</v>
      </c>
      <c r="G1274" s="101">
        <f t="shared" si="308"/>
        <v>1802</v>
      </c>
      <c r="H1274" s="90" t="s">
        <v>1534</v>
      </c>
      <c r="I1274" s="110" t="str">
        <f t="shared" si="306"/>
        <v>RI8_8</v>
      </c>
    </row>
    <row r="1275" spans="1:9" ht="22.5" customHeight="1" x14ac:dyDescent="0.25">
      <c r="A1275" s="110" t="s">
        <v>1542</v>
      </c>
      <c r="B1275" s="96" t="str">
        <f>A1275&amp;" Who beside yourself, make or receive calls or messages on this phone number. " &amp;" Other (Specify)"</f>
        <v>RI8.96 Who beside yourself, make or receive calls or messages on this phone number.  Other (Specify)</v>
      </c>
      <c r="C1275" s="90" t="s">
        <v>142</v>
      </c>
      <c r="D1275" s="53" t="s">
        <v>38</v>
      </c>
      <c r="E1275" s="101">
        <v>1</v>
      </c>
      <c r="F1275" s="101">
        <f t="shared" si="307"/>
        <v>1803</v>
      </c>
      <c r="G1275" s="101">
        <f t="shared" si="308"/>
        <v>1803</v>
      </c>
      <c r="H1275" s="90" t="s">
        <v>1534</v>
      </c>
      <c r="I1275" s="110" t="str">
        <f>LEFT(A1275,3) &amp; "_" &amp;RIGHT(A1275,2)</f>
        <v>RI8_96</v>
      </c>
    </row>
    <row r="1276" spans="1:9" ht="23.25" customHeight="1" x14ac:dyDescent="0.25">
      <c r="A1276" s="110" t="s">
        <v>1543</v>
      </c>
      <c r="B1276" s="96" t="str">
        <f>A1276&amp;" Who beside yourself, make or receive calls or messages on this phone number. " &amp;" None (SINGLE ANSWER)"</f>
        <v>RI8.10 Who beside yourself, make or receive calls or messages on this phone number.  None (SINGLE ANSWER)</v>
      </c>
      <c r="C1276" s="90" t="s">
        <v>142</v>
      </c>
      <c r="D1276" s="53" t="s">
        <v>38</v>
      </c>
      <c r="E1276" s="101">
        <v>1</v>
      </c>
      <c r="F1276" s="101">
        <f t="shared" si="307"/>
        <v>1804</v>
      </c>
      <c r="G1276" s="101">
        <f t="shared" si="308"/>
        <v>1804</v>
      </c>
      <c r="H1276" s="90" t="s">
        <v>1534</v>
      </c>
      <c r="I1276" s="110" t="str">
        <f>LEFT(A1276,3) &amp; "_" &amp;RIGHT(A1276,2)</f>
        <v>RI8_10</v>
      </c>
    </row>
    <row r="1277" spans="1:9" ht="18" customHeight="1" x14ac:dyDescent="0.25">
      <c r="A1277" s="54" t="s">
        <v>1544</v>
      </c>
      <c r="B1277" s="9" t="s">
        <v>1545</v>
      </c>
      <c r="C1277" s="58" t="s">
        <v>15</v>
      </c>
      <c r="D1277" s="54" t="s">
        <v>16</v>
      </c>
      <c r="E1277" s="53">
        <v>8</v>
      </c>
      <c r="F1277" s="101">
        <f t="shared" si="307"/>
        <v>1805</v>
      </c>
      <c r="G1277" s="101">
        <f t="shared" si="308"/>
        <v>1812</v>
      </c>
      <c r="H1277" s="10" t="s">
        <v>17</v>
      </c>
      <c r="I1277" s="54" t="str">
        <f>A1277</f>
        <v>QC1</v>
      </c>
    </row>
    <row r="1278" spans="1:9" ht="25.5" x14ac:dyDescent="0.25">
      <c r="A1278" s="110" t="s">
        <v>1546</v>
      </c>
      <c r="B1278" s="10" t="str">
        <f>A1278&amp;".Accompanied by Supervisor"&amp;" Name"</f>
        <v>QC2.1.Accompanied by Supervisor Name</v>
      </c>
      <c r="C1278" s="9" t="s">
        <v>1547</v>
      </c>
      <c r="D1278" s="54" t="s">
        <v>50</v>
      </c>
      <c r="E1278" s="101">
        <v>20</v>
      </c>
      <c r="F1278" s="101">
        <f t="shared" si="307"/>
        <v>1813</v>
      </c>
      <c r="G1278" s="101">
        <f t="shared" si="308"/>
        <v>1832</v>
      </c>
      <c r="H1278" s="10" t="s">
        <v>17</v>
      </c>
      <c r="I1278" s="110" t="str">
        <f t="shared" ref="I1278:I1285" si="309">LEFT(A1278,3) &amp; "_" &amp;RIGHT(A1278,1)</f>
        <v>QC2_1</v>
      </c>
    </row>
    <row r="1279" spans="1:9" x14ac:dyDescent="0.25">
      <c r="A1279" s="110" t="s">
        <v>1548</v>
      </c>
      <c r="B1279" s="10" t="str">
        <f>A1279&amp;".ReviewedbySupervisorafterfieldwork"&amp;" Name"</f>
        <v>QC2.2.ReviewedbySupervisorafterfieldwork Name</v>
      </c>
      <c r="C1279" s="58" t="s">
        <v>15</v>
      </c>
      <c r="D1279" s="54" t="s">
        <v>50</v>
      </c>
      <c r="E1279" s="101">
        <v>20</v>
      </c>
      <c r="F1279" s="101">
        <f t="shared" si="307"/>
        <v>1833</v>
      </c>
      <c r="G1279" s="101">
        <f t="shared" si="308"/>
        <v>1852</v>
      </c>
      <c r="H1279" s="10" t="s">
        <v>17</v>
      </c>
      <c r="I1279" s="110" t="str">
        <f t="shared" si="309"/>
        <v>QC2_2</v>
      </c>
    </row>
    <row r="1280" spans="1:9" x14ac:dyDescent="0.25">
      <c r="A1280" s="110" t="s">
        <v>1549</v>
      </c>
      <c r="B1280" s="10" t="str">
        <f>A1280&amp;".Back Checked by Supervisor (Physical Visit) "&amp;"Name"</f>
        <v>QC2.3.Back Checked by Supervisor (Physical Visit) Name</v>
      </c>
      <c r="C1280" s="58" t="s">
        <v>15</v>
      </c>
      <c r="D1280" s="54" t="s">
        <v>50</v>
      </c>
      <c r="E1280" s="101">
        <v>20</v>
      </c>
      <c r="F1280" s="101">
        <f t="shared" si="307"/>
        <v>1853</v>
      </c>
      <c r="G1280" s="101">
        <f t="shared" si="308"/>
        <v>1872</v>
      </c>
      <c r="H1280" s="10" t="s">
        <v>17</v>
      </c>
      <c r="I1280" s="110" t="str">
        <f t="shared" si="309"/>
        <v>QC2_3</v>
      </c>
    </row>
    <row r="1281" spans="1:9" x14ac:dyDescent="0.25">
      <c r="A1281" s="110" t="s">
        <v>1550</v>
      </c>
      <c r="B1281" s="10" t="str">
        <f>A1281&amp;".Back Checked by Supervisor (Phone Call)"&amp;" Name"</f>
        <v>QC2.4.Back Checked by Supervisor (Phone Call) Name</v>
      </c>
      <c r="C1281" s="58" t="s">
        <v>15</v>
      </c>
      <c r="D1281" s="54" t="s">
        <v>50</v>
      </c>
      <c r="E1281" s="101">
        <v>20</v>
      </c>
      <c r="F1281" s="101">
        <f t="shared" si="307"/>
        <v>1873</v>
      </c>
      <c r="G1281" s="101">
        <f t="shared" si="308"/>
        <v>1892</v>
      </c>
      <c r="H1281" s="10" t="s">
        <v>17</v>
      </c>
      <c r="I1281" s="110" t="str">
        <f t="shared" si="309"/>
        <v>QC2_4</v>
      </c>
    </row>
    <row r="1282" spans="1:9" ht="25.5" x14ac:dyDescent="0.25">
      <c r="A1282" s="110" t="s">
        <v>1551</v>
      </c>
      <c r="B1282" s="10" t="str">
        <f>A1282&amp;".Accompanied by Supervisor"&amp;" Date(dd.mm.yyyy)"</f>
        <v>QC3.1.Accompanied by Supervisor Date(dd.mm.yyyy)</v>
      </c>
      <c r="C1282" s="9" t="s">
        <v>1547</v>
      </c>
      <c r="D1282" s="54" t="s">
        <v>53</v>
      </c>
      <c r="E1282" s="101">
        <v>20</v>
      </c>
      <c r="F1282" s="101">
        <f>G1281+1</f>
        <v>1893</v>
      </c>
      <c r="G1282" s="101">
        <f>G1281+E1282</f>
        <v>1912</v>
      </c>
      <c r="H1282" s="10" t="s">
        <v>17</v>
      </c>
      <c r="I1282" s="110" t="str">
        <f t="shared" si="309"/>
        <v>QC3_1</v>
      </c>
    </row>
    <row r="1283" spans="1:9" x14ac:dyDescent="0.25">
      <c r="A1283" s="110" t="s">
        <v>1552</v>
      </c>
      <c r="B1283" s="10" t="str">
        <f>A1283&amp;".ReviewedbySupervisorafterfieldwork"&amp;" Date(dd.mm.yyyy)"</f>
        <v>QC3.2.ReviewedbySupervisorafterfieldwork Date(dd.mm.yyyy)</v>
      </c>
      <c r="C1283" s="58" t="s">
        <v>15</v>
      </c>
      <c r="D1283" s="54" t="s">
        <v>53</v>
      </c>
      <c r="E1283" s="101">
        <v>10</v>
      </c>
      <c r="F1283" s="101">
        <f>G1282+1</f>
        <v>1913</v>
      </c>
      <c r="G1283" s="101">
        <f>G1282+E1283</f>
        <v>1922</v>
      </c>
      <c r="H1283" s="10" t="s">
        <v>17</v>
      </c>
      <c r="I1283" s="110" t="str">
        <f t="shared" si="309"/>
        <v>QC3_2</v>
      </c>
    </row>
    <row r="1284" spans="1:9" x14ac:dyDescent="0.25">
      <c r="A1284" s="110" t="s">
        <v>1553</v>
      </c>
      <c r="B1284" s="10" t="str">
        <f>A1284&amp;".Back Checked by Supervisor (Physical Visit)" &amp;" Date(dd.mm.yyyy)"</f>
        <v>QC3.3.Back Checked by Supervisor (Physical Visit) Date(dd.mm.yyyy)</v>
      </c>
      <c r="C1284" s="58" t="s">
        <v>15</v>
      </c>
      <c r="D1284" s="54" t="s">
        <v>53</v>
      </c>
      <c r="E1284" s="101">
        <v>10</v>
      </c>
      <c r="F1284" s="101">
        <f>G1283+1</f>
        <v>1923</v>
      </c>
      <c r="G1284" s="101">
        <f>G1283+E1284</f>
        <v>1932</v>
      </c>
      <c r="H1284" s="10" t="s">
        <v>17</v>
      </c>
      <c r="I1284" s="110" t="str">
        <f t="shared" si="309"/>
        <v>QC3_3</v>
      </c>
    </row>
    <row r="1285" spans="1:9" x14ac:dyDescent="0.25">
      <c r="A1285" s="110" t="s">
        <v>1554</v>
      </c>
      <c r="B1285" s="10" t="str">
        <f>A1285&amp;".Back Checked by Supervisor (Phone Call) "&amp;" Date(dd.mm.yyyy)"</f>
        <v>QC3.4.Back Checked by Supervisor (Phone Call)  Date(dd.mm.yyyy)</v>
      </c>
      <c r="C1285" s="58" t="s">
        <v>15</v>
      </c>
      <c r="D1285" s="54" t="s">
        <v>53</v>
      </c>
      <c r="E1285" s="101">
        <v>10</v>
      </c>
      <c r="F1285" s="101">
        <f>G1284+1</f>
        <v>1933</v>
      </c>
      <c r="G1285" s="101">
        <f>G1284+E1285</f>
        <v>1942</v>
      </c>
      <c r="H1285" s="10" t="s">
        <v>17</v>
      </c>
      <c r="I1285" s="110" t="str">
        <f t="shared" si="309"/>
        <v>QC3_4</v>
      </c>
    </row>
  </sheetData>
  <autoFilter ref="A3:I1285"/>
  <mergeCells count="38">
    <mergeCell ref="A1172:I1172"/>
    <mergeCell ref="A1193:I1193"/>
    <mergeCell ref="A1207:I1207"/>
    <mergeCell ref="A1255:I1255"/>
    <mergeCell ref="A1003:I1003"/>
    <mergeCell ref="A1031:I1031"/>
    <mergeCell ref="A1040:I1040"/>
    <mergeCell ref="A1041:I1041"/>
    <mergeCell ref="A1120:I1120"/>
    <mergeCell ref="A1152:I1152"/>
    <mergeCell ref="A1181:I1181"/>
    <mergeCell ref="A980:I980"/>
    <mergeCell ref="A1002:I1002"/>
    <mergeCell ref="A681:I681"/>
    <mergeCell ref="A795:I795"/>
    <mergeCell ref="A28:I28"/>
    <mergeCell ref="A196:I196"/>
    <mergeCell ref="A279:I279"/>
    <mergeCell ref="A796:I796"/>
    <mergeCell ref="A942:I942"/>
    <mergeCell ref="A749:I749"/>
    <mergeCell ref="A379:I379"/>
    <mergeCell ref="A644:I644"/>
    <mergeCell ref="A293:I293"/>
    <mergeCell ref="A286:I286"/>
    <mergeCell ref="A378:I378"/>
    <mergeCell ref="A491:I491"/>
    <mergeCell ref="A1:I1"/>
    <mergeCell ref="A278:I278"/>
    <mergeCell ref="A27:I27"/>
    <mergeCell ref="A245:I245"/>
    <mergeCell ref="A173:I173"/>
    <mergeCell ref="A2:I2"/>
    <mergeCell ref="A73:I73"/>
    <mergeCell ref="A107:I107"/>
    <mergeCell ref="A112:I112"/>
    <mergeCell ref="A172:I172"/>
    <mergeCell ref="A148:I148"/>
  </mergeCells>
  <conditionalFormatting sqref="F153:F158">
    <cfRule type="duplicateValues" dxfId="5" priority="13" stopIfTrue="1"/>
  </conditionalFormatting>
  <conditionalFormatting sqref="G153:G158">
    <cfRule type="duplicateValues" dxfId="4" priority="14" stopIfTrue="1"/>
  </conditionalFormatting>
  <conditionalFormatting sqref="F159:F170">
    <cfRule type="duplicateValues" dxfId="3" priority="22" stopIfTrue="1"/>
  </conditionalFormatting>
  <conditionalFormatting sqref="G159:G170">
    <cfRule type="duplicateValues" dxfId="2" priority="23" stopIfTrue="1"/>
  </conditionalFormatting>
  <conditionalFormatting sqref="F171">
    <cfRule type="duplicateValues" dxfId="1" priority="1" stopIfTrue="1"/>
  </conditionalFormatting>
  <conditionalFormatting sqref="G171">
    <cfRule type="duplicateValues" dxfId="0" priority="2" stopIfTrue="1"/>
  </conditionalFormatting>
  <hyperlinks>
    <hyperlink ref="C77" location="vDL2!A1" display="see sheet vDL2"/>
    <hyperlink ref="C76" location="vDL1!A1" display="see sheet vDL1"/>
    <hyperlink ref="C103" location="'vDL4&amp;5'!A1" display="see sheet vDL4&amp;5"/>
    <hyperlink ref="C110" location="vDL12!A1" display="See sheet vDL12"/>
    <hyperlink ref="C33" location="'vDG4'!A1" display="see vDG4 sheet"/>
    <hyperlink ref="C578" location="vMM13!A1" display="SEE sheet vMM13"/>
    <hyperlink ref="C579" location="vMM14!A1" display="See sheet vMM14 "/>
    <hyperlink ref="C72" location="vDG14!A1" display="see sheet VDG14"/>
    <hyperlink ref="C577" location="vMM12!A1" display="SEE sheet vMM13"/>
    <hyperlink ref="C283" location="vFF2A!A1" display="See sheet vFF2A"/>
    <hyperlink ref="C284" location="vFF3!A1" display="See sheet vFF3"/>
    <hyperlink ref="C210:C213" location="vMT13!A1" display="see sheet vMT13"/>
    <hyperlink ref="C209" location="vMT13!A1" display="see sheet vMT13"/>
    <hyperlink ref="C195" location="vMT9!A1" display="See sheet vMT9"/>
    <hyperlink ref="C147" location="vDL28!A1" display="See sheet vDL28"/>
    <hyperlink ref="C146" location="'vDL26&amp;27'!A1" display="See sheet vDL26&amp;27"/>
    <hyperlink ref="C629" location="'vMM18&amp;19'!A1" display="See sheet vMM18&amp;19"/>
    <hyperlink ref="C630" location="'vMM18&amp;19'!A1" display="See sheet vMM18&amp;19"/>
    <hyperlink ref="C962" location="vIFI16!A1" display="See sheet vIFI16"/>
    <hyperlink ref="C963:C967" location="vIFI16!A1" display="See sheet vIFI16"/>
    <hyperlink ref="C1008" location="vFL4!A1" display="see sheet vFL4 "/>
    <hyperlink ref="C1105" location="vFB19!A1" display="See sheet vFB19 "/>
    <hyperlink ref="C1118" location="'vFB20&amp;21'!A1" display="See sheet vFB20&amp;21 "/>
    <hyperlink ref="C1119" location="'vFB20&amp;21'!A1" display="See sheet vFB20&amp;21 "/>
    <hyperlink ref="C1029" location="vfl10!A1" display="See sheet Vfl10"/>
    <hyperlink ref="C631" location="vMM20!A1" display="See sheet vMM20"/>
    <hyperlink ref="C684" location="vMM34!A1" display="see sheet vMM34"/>
    <hyperlink ref="C968:C969" location="vIFI16!A1" display="See sheet vIFI16"/>
    <hyperlink ref="C992" location="vIFI21!A1" display="See sheet vIFI21"/>
    <hyperlink ref="C1001" location="vIFI24!A1" display="See sheet vIFI24"/>
    <hyperlink ref="C1026" location="vFL9!A1" display="See sheet vIFI24"/>
    <hyperlink ref="C1027:C1028" location="vFL9!A1" display="See sheet vIFI24"/>
    <hyperlink ref="C1138" location="'vFB24&amp;25'!A1" display="see sheet vFB24&amp;25"/>
    <hyperlink ref="C1139" location="'vFB24&amp;25'!A1" display="see sheet vFB24&amp;25"/>
    <hyperlink ref="C970" location="vIFI16!A1" display="See sheet vIFI16"/>
    <hyperlink ref="C214" location="vMT13!A1" display="see sheet vMT13"/>
    <hyperlink ref="C215" location="vMT13!A1" display="see sheet vMT13"/>
    <hyperlink ref="C216" location="vMT13!A1" display="see sheet vMT13"/>
    <hyperlink ref="C159" location="vG2P2!A1" display="See Sheet vG2P2"/>
    <hyperlink ref="C160" location="vG2P2!A1" display="See Sheet vG2P2"/>
    <hyperlink ref="C161" location="vG2P2!A1" display="See Sheet vG2P2"/>
    <hyperlink ref="C162" location="vG2P2!A1" display="See Sheet vG2P2"/>
    <hyperlink ref="C158" location="vG2P2!A1" display="See Sheet vG2P2"/>
    <hyperlink ref="C163" location="vG2P2!A1" display="See Sheet vG2P2"/>
    <hyperlink ref="C164" location="vG2P2!A1" display="See Sheet vG2P2"/>
    <hyperlink ref="C1191" location="'vFB30&amp;31&amp;32'!A1" display="See sheet vFB30&amp;31&amp;32"/>
    <hyperlink ref="C1192" location="'vFB30&amp;31&amp;32'!A1" display="See sheet vFB30&amp;31&amp;32"/>
  </hyperlinks>
  <pageMargins left="0.7" right="0.7" top="0.75" bottom="0.75" header="0.3" footer="0.3"/>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heetViews>
  <sheetFormatPr defaultRowHeight="15" x14ac:dyDescent="0.25"/>
  <cols>
    <col min="2" max="2" width="63" bestFit="1" customWidth="1"/>
  </cols>
  <sheetData>
    <row r="1" spans="1:2" x14ac:dyDescent="0.25">
      <c r="A1" s="12" t="s">
        <v>1915</v>
      </c>
      <c r="B1" s="11" t="s">
        <v>1916</v>
      </c>
    </row>
    <row r="2" spans="1:2" x14ac:dyDescent="0.25">
      <c r="A2" s="8">
        <v>1</v>
      </c>
      <c r="B2" s="8" t="s">
        <v>1986</v>
      </c>
    </row>
    <row r="3" spans="1:2" x14ac:dyDescent="0.25">
      <c r="A3" s="8">
        <v>2</v>
      </c>
      <c r="B3" s="8" t="s">
        <v>1987</v>
      </c>
    </row>
    <row r="4" spans="1:2" x14ac:dyDescent="0.25">
      <c r="A4" s="8">
        <v>3</v>
      </c>
      <c r="B4" s="8" t="s">
        <v>1988</v>
      </c>
    </row>
    <row r="5" spans="1:2" x14ac:dyDescent="0.25">
      <c r="A5" s="8">
        <v>4</v>
      </c>
      <c r="B5" s="8" t="s">
        <v>1989</v>
      </c>
    </row>
    <row r="6" spans="1:2" x14ac:dyDescent="0.25">
      <c r="A6" s="8">
        <v>5</v>
      </c>
      <c r="B6" s="8" t="s">
        <v>1990</v>
      </c>
    </row>
    <row r="7" spans="1:2" x14ac:dyDescent="0.25">
      <c r="A7" s="8">
        <v>6</v>
      </c>
      <c r="B7" s="8" t="s">
        <v>1991</v>
      </c>
    </row>
    <row r="8" spans="1:2" x14ac:dyDescent="0.25">
      <c r="A8" s="8">
        <v>7</v>
      </c>
      <c r="B8" s="8" t="s">
        <v>1992</v>
      </c>
    </row>
    <row r="9" spans="1:2" x14ac:dyDescent="0.25">
      <c r="A9" s="8">
        <v>8</v>
      </c>
      <c r="B9" s="8" t="s">
        <v>1993</v>
      </c>
    </row>
    <row r="10" spans="1:2" x14ac:dyDescent="0.25">
      <c r="A10" s="8">
        <v>9</v>
      </c>
      <c r="B10" s="8" t="s">
        <v>1994</v>
      </c>
    </row>
    <row r="11" spans="1:2" x14ac:dyDescent="0.25">
      <c r="A11" s="8">
        <v>10</v>
      </c>
      <c r="B11" s="8" t="s">
        <v>1995</v>
      </c>
    </row>
    <row r="12" spans="1:2" x14ac:dyDescent="0.25">
      <c r="A12" s="8">
        <v>96</v>
      </c>
      <c r="B12" s="8" t="s">
        <v>1853</v>
      </c>
    </row>
    <row r="13" spans="1:2" x14ac:dyDescent="0.25">
      <c r="A13" s="8">
        <v>99</v>
      </c>
      <c r="B13" s="8" t="s">
        <v>1783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heetViews>
  <sheetFormatPr defaultColWidth="8.85546875" defaultRowHeight="12.75" x14ac:dyDescent="0.25"/>
  <cols>
    <col min="1" max="1" width="14.85546875" style="1" customWidth="1"/>
    <col min="2" max="2" width="52" style="1" bestFit="1" customWidth="1"/>
    <col min="3" max="16384" width="8.85546875" style="1"/>
  </cols>
  <sheetData>
    <row r="1" spans="1:2" x14ac:dyDescent="0.25">
      <c r="A1" s="12" t="s">
        <v>1915</v>
      </c>
      <c r="B1" s="11" t="s">
        <v>1916</v>
      </c>
    </row>
    <row r="2" spans="1:2" x14ac:dyDescent="0.2">
      <c r="A2" s="13">
        <v>1</v>
      </c>
      <c r="B2" s="24" t="s">
        <v>1996</v>
      </c>
    </row>
    <row r="3" spans="1:2" x14ac:dyDescent="0.25">
      <c r="A3" s="13">
        <v>2</v>
      </c>
      <c r="B3" s="2" t="s">
        <v>1997</v>
      </c>
    </row>
    <row r="4" spans="1:2" ht="12.75" customHeight="1" x14ac:dyDescent="0.25">
      <c r="A4" s="13">
        <v>3</v>
      </c>
      <c r="B4" s="2" t="s">
        <v>1998</v>
      </c>
    </row>
    <row r="5" spans="1:2" x14ac:dyDescent="0.25">
      <c r="A5" s="13">
        <v>4</v>
      </c>
      <c r="B5" s="2" t="s">
        <v>1999</v>
      </c>
    </row>
    <row r="6" spans="1:2" ht="12.75" customHeight="1" x14ac:dyDescent="0.25">
      <c r="A6" s="13">
        <v>5</v>
      </c>
      <c r="B6" s="2" t="s">
        <v>2000</v>
      </c>
    </row>
    <row r="7" spans="1:2" x14ac:dyDescent="0.25">
      <c r="A7" s="13">
        <v>6</v>
      </c>
      <c r="B7" s="2" t="s">
        <v>2001</v>
      </c>
    </row>
    <row r="8" spans="1:2" ht="12.75" customHeight="1" x14ac:dyDescent="0.25">
      <c r="A8" s="13">
        <v>7</v>
      </c>
      <c r="B8" s="2" t="s">
        <v>2002</v>
      </c>
    </row>
    <row r="9" spans="1:2" x14ac:dyDescent="0.25">
      <c r="A9" s="13">
        <v>8</v>
      </c>
      <c r="B9" s="2" t="s">
        <v>2003</v>
      </c>
    </row>
    <row r="10" spans="1:2" x14ac:dyDescent="0.25">
      <c r="A10" s="13">
        <v>9</v>
      </c>
      <c r="B10" s="2" t="s">
        <v>2004</v>
      </c>
    </row>
    <row r="11" spans="1:2" x14ac:dyDescent="0.25">
      <c r="A11" s="13">
        <v>10</v>
      </c>
      <c r="B11" s="2" t="s">
        <v>2005</v>
      </c>
    </row>
    <row r="12" spans="1:2" ht="12.75" customHeight="1" x14ac:dyDescent="0.25">
      <c r="A12" s="13">
        <v>11</v>
      </c>
      <c r="B12" s="40" t="s">
        <v>2006</v>
      </c>
    </row>
    <row r="13" spans="1:2" x14ac:dyDescent="0.25">
      <c r="A13" s="13">
        <v>12</v>
      </c>
      <c r="B13" s="2" t="s">
        <v>2007</v>
      </c>
    </row>
    <row r="14" spans="1:2" x14ac:dyDescent="0.25">
      <c r="A14" s="13">
        <v>13</v>
      </c>
      <c r="B14" s="2" t="s">
        <v>2008</v>
      </c>
    </row>
    <row r="15" spans="1:2" x14ac:dyDescent="0.25">
      <c r="A15" s="13">
        <v>14</v>
      </c>
      <c r="B15" s="2" t="s">
        <v>2009</v>
      </c>
    </row>
    <row r="16" spans="1:2" x14ac:dyDescent="0.25">
      <c r="A16" s="13">
        <v>15</v>
      </c>
      <c r="B16" s="2" t="s">
        <v>2010</v>
      </c>
    </row>
    <row r="17" spans="1:2" x14ac:dyDescent="0.25">
      <c r="A17" s="13">
        <v>16</v>
      </c>
      <c r="B17" s="2" t="s">
        <v>2011</v>
      </c>
    </row>
    <row r="18" spans="1:2" x14ac:dyDescent="0.25">
      <c r="A18" s="13">
        <v>17</v>
      </c>
      <c r="B18" s="38" t="s">
        <v>2012</v>
      </c>
    </row>
    <row r="19" spans="1:2" ht="12.75" customHeight="1" x14ac:dyDescent="0.25">
      <c r="A19" s="13">
        <v>18</v>
      </c>
      <c r="B19" s="2" t="s">
        <v>2013</v>
      </c>
    </row>
    <row r="20" spans="1:2" x14ac:dyDescent="0.25">
      <c r="A20" s="13">
        <v>19</v>
      </c>
      <c r="B20" s="2" t="s">
        <v>2014</v>
      </c>
    </row>
    <row r="21" spans="1:2" ht="12.75" customHeight="1" x14ac:dyDescent="0.25">
      <c r="A21" s="13">
        <v>20</v>
      </c>
      <c r="B21" s="2" t="s">
        <v>2015</v>
      </c>
    </row>
    <row r="22" spans="1:2" x14ac:dyDescent="0.25">
      <c r="A22" s="13">
        <v>21</v>
      </c>
      <c r="B22" s="2" t="s">
        <v>2016</v>
      </c>
    </row>
    <row r="23" spans="1:2" ht="12.75" customHeight="1" x14ac:dyDescent="0.2">
      <c r="A23" s="13">
        <v>22</v>
      </c>
      <c r="B23" s="24" t="s">
        <v>2017</v>
      </c>
    </row>
    <row r="24" spans="1:2" x14ac:dyDescent="0.25">
      <c r="A24" s="13">
        <v>23</v>
      </c>
      <c r="B24" s="2" t="s">
        <v>2018</v>
      </c>
    </row>
    <row r="25" spans="1:2" x14ac:dyDescent="0.25">
      <c r="A25" s="13">
        <v>24</v>
      </c>
      <c r="B25" s="2" t="s">
        <v>2019</v>
      </c>
    </row>
    <row r="26" spans="1:2" x14ac:dyDescent="0.25">
      <c r="A26" s="13">
        <v>25</v>
      </c>
      <c r="B26" s="2" t="s">
        <v>2020</v>
      </c>
    </row>
    <row r="27" spans="1:2" x14ac:dyDescent="0.25">
      <c r="A27" s="13">
        <v>26</v>
      </c>
      <c r="B27" s="2" t="s">
        <v>2021</v>
      </c>
    </row>
    <row r="28" spans="1:2" x14ac:dyDescent="0.25">
      <c r="A28" s="13">
        <v>27</v>
      </c>
      <c r="B28" s="2" t="s">
        <v>2022</v>
      </c>
    </row>
    <row r="29" spans="1:2" x14ac:dyDescent="0.25">
      <c r="A29" s="13">
        <v>28</v>
      </c>
      <c r="B29" s="2" t="s">
        <v>2023</v>
      </c>
    </row>
    <row r="30" spans="1:2" x14ac:dyDescent="0.25">
      <c r="A30" s="13">
        <v>29</v>
      </c>
      <c r="B30" s="2" t="s">
        <v>2024</v>
      </c>
    </row>
    <row r="31" spans="1:2" x14ac:dyDescent="0.2">
      <c r="A31" s="13">
        <v>30</v>
      </c>
      <c r="B31" s="24" t="s">
        <v>2025</v>
      </c>
    </row>
    <row r="32" spans="1:2" x14ac:dyDescent="0.25">
      <c r="A32" s="13">
        <v>96</v>
      </c>
      <c r="B32" s="2" t="s">
        <v>2026</v>
      </c>
    </row>
    <row r="33" spans="1:1" x14ac:dyDescent="0.25">
      <c r="A33" s="13"/>
    </row>
  </sheetData>
  <pageMargins left="0.7" right="0.7" top="0.75" bottom="0.75" header="0.3" footer="0.3"/>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heetViews>
  <sheetFormatPr defaultColWidth="35.28515625" defaultRowHeight="15" x14ac:dyDescent="0.25"/>
  <cols>
    <col min="1" max="1" width="11.5703125" style="50" customWidth="1"/>
    <col min="2" max="2" width="81.5703125" customWidth="1"/>
  </cols>
  <sheetData>
    <row r="1" spans="1:2" x14ac:dyDescent="0.25">
      <c r="A1" s="35" t="s">
        <v>1915</v>
      </c>
      <c r="B1" s="11" t="s">
        <v>1916</v>
      </c>
    </row>
    <row r="2" spans="1:2" x14ac:dyDescent="0.25">
      <c r="A2" s="49">
        <v>1</v>
      </c>
      <c r="B2" s="2" t="s">
        <v>2027</v>
      </c>
    </row>
    <row r="3" spans="1:2" x14ac:dyDescent="0.25">
      <c r="A3" s="49">
        <v>2</v>
      </c>
      <c r="B3" s="2" t="s">
        <v>2028</v>
      </c>
    </row>
    <row r="4" spans="1:2" x14ac:dyDescent="0.25">
      <c r="A4" s="49">
        <v>3</v>
      </c>
      <c r="B4" s="2" t="s">
        <v>2029</v>
      </c>
    </row>
    <row r="5" spans="1:2" x14ac:dyDescent="0.25">
      <c r="A5" s="49">
        <v>4</v>
      </c>
      <c r="B5" s="2" t="s">
        <v>2030</v>
      </c>
    </row>
    <row r="6" spans="1:2" x14ac:dyDescent="0.25">
      <c r="A6" s="49">
        <v>5</v>
      </c>
      <c r="B6" s="2" t="s">
        <v>2031</v>
      </c>
    </row>
    <row r="7" spans="1:2" x14ac:dyDescent="0.25">
      <c r="A7" s="49">
        <v>6</v>
      </c>
      <c r="B7" s="2" t="s">
        <v>2032</v>
      </c>
    </row>
    <row r="8" spans="1:2" x14ac:dyDescent="0.25">
      <c r="A8" s="49">
        <v>7</v>
      </c>
      <c r="B8" s="2" t="s">
        <v>2033</v>
      </c>
    </row>
    <row r="9" spans="1:2" x14ac:dyDescent="0.25">
      <c r="A9" s="49">
        <v>8</v>
      </c>
      <c r="B9" s="2" t="s">
        <v>2034</v>
      </c>
    </row>
    <row r="10" spans="1:2" x14ac:dyDescent="0.25">
      <c r="A10" s="49">
        <v>9</v>
      </c>
      <c r="B10" s="2" t="s">
        <v>2035</v>
      </c>
    </row>
    <row r="11" spans="1:2" x14ac:dyDescent="0.25">
      <c r="A11" s="49">
        <v>10</v>
      </c>
      <c r="B11" s="2" t="s">
        <v>2036</v>
      </c>
    </row>
    <row r="12" spans="1:2" x14ac:dyDescent="0.25">
      <c r="A12" s="49">
        <v>11</v>
      </c>
      <c r="B12" s="2" t="s">
        <v>2037</v>
      </c>
    </row>
    <row r="13" spans="1:2" x14ac:dyDescent="0.25">
      <c r="A13" s="49">
        <v>12</v>
      </c>
      <c r="B13" s="2" t="s">
        <v>2038</v>
      </c>
    </row>
    <row r="14" spans="1:2" x14ac:dyDescent="0.25">
      <c r="A14" s="49">
        <v>13</v>
      </c>
      <c r="B14" s="2" t="s">
        <v>2039</v>
      </c>
    </row>
    <row r="15" spans="1:2" x14ac:dyDescent="0.25">
      <c r="A15" s="49">
        <v>14</v>
      </c>
      <c r="B15" s="2" t="s">
        <v>2040</v>
      </c>
    </row>
    <row r="16" spans="1:2" x14ac:dyDescent="0.25">
      <c r="A16" s="49">
        <v>15</v>
      </c>
      <c r="B16" s="2" t="s">
        <v>2041</v>
      </c>
    </row>
    <row r="17" spans="1:2" x14ac:dyDescent="0.25">
      <c r="A17" s="49">
        <v>16</v>
      </c>
      <c r="B17" s="2" t="s">
        <v>2042</v>
      </c>
    </row>
    <row r="18" spans="1:2" x14ac:dyDescent="0.25">
      <c r="A18" s="49">
        <v>17</v>
      </c>
      <c r="B18" s="2" t="s">
        <v>2043</v>
      </c>
    </row>
    <row r="19" spans="1:2" x14ac:dyDescent="0.25">
      <c r="A19" s="49">
        <v>18</v>
      </c>
      <c r="B19" s="2" t="s">
        <v>2044</v>
      </c>
    </row>
    <row r="20" spans="1:2" x14ac:dyDescent="0.25">
      <c r="A20" s="49">
        <v>19</v>
      </c>
      <c r="B20" s="2" t="s">
        <v>2045</v>
      </c>
    </row>
    <row r="21" spans="1:2" x14ac:dyDescent="0.25">
      <c r="A21" s="49">
        <v>20</v>
      </c>
      <c r="B21" s="2" t="s">
        <v>2046</v>
      </c>
    </row>
    <row r="22" spans="1:2" x14ac:dyDescent="0.25">
      <c r="A22" s="49">
        <v>21</v>
      </c>
      <c r="B22" s="2" t="s">
        <v>2047</v>
      </c>
    </row>
    <row r="23" spans="1:2" x14ac:dyDescent="0.25">
      <c r="A23" s="49">
        <v>22</v>
      </c>
      <c r="B23" s="2" t="s">
        <v>2048</v>
      </c>
    </row>
    <row r="24" spans="1:2" x14ac:dyDescent="0.25">
      <c r="A24" s="49">
        <v>96</v>
      </c>
      <c r="B24" s="2" t="s">
        <v>1853</v>
      </c>
    </row>
    <row r="25" spans="1:2" x14ac:dyDescent="0.25">
      <c r="A25" s="49">
        <v>99</v>
      </c>
      <c r="B25" s="2" t="s">
        <v>1783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RowHeight="15" x14ac:dyDescent="0.25"/>
  <cols>
    <col min="2" max="2" width="81.140625" customWidth="1"/>
  </cols>
  <sheetData>
    <row r="1" spans="1:2" x14ac:dyDescent="0.25">
      <c r="A1" s="11" t="s">
        <v>1915</v>
      </c>
      <c r="B1" s="11" t="s">
        <v>2049</v>
      </c>
    </row>
    <row r="2" spans="1:2" x14ac:dyDescent="0.25">
      <c r="A2" s="8">
        <v>1</v>
      </c>
      <c r="B2" s="2" t="s">
        <v>2050</v>
      </c>
    </row>
    <row r="3" spans="1:2" x14ac:dyDescent="0.25">
      <c r="A3" s="8">
        <v>2</v>
      </c>
      <c r="B3" s="2" t="s">
        <v>2051</v>
      </c>
    </row>
    <row r="4" spans="1:2" x14ac:dyDescent="0.25">
      <c r="A4" s="8">
        <v>3</v>
      </c>
      <c r="B4" s="2" t="s">
        <v>2052</v>
      </c>
    </row>
    <row r="5" spans="1:2" x14ac:dyDescent="0.25">
      <c r="A5" s="8">
        <v>4</v>
      </c>
      <c r="B5" s="2" t="s">
        <v>2053</v>
      </c>
    </row>
    <row r="6" spans="1:2" x14ac:dyDescent="0.25">
      <c r="A6" s="8">
        <v>5</v>
      </c>
      <c r="B6" s="2" t="s">
        <v>2054</v>
      </c>
    </row>
    <row r="7" spans="1:2" x14ac:dyDescent="0.25">
      <c r="A7" s="8">
        <v>6</v>
      </c>
      <c r="B7" s="2" t="s">
        <v>2055</v>
      </c>
    </row>
    <row r="8" spans="1:2" x14ac:dyDescent="0.25">
      <c r="A8" s="8">
        <v>7</v>
      </c>
      <c r="B8" s="2" t="s">
        <v>2056</v>
      </c>
    </row>
    <row r="9" spans="1:2" x14ac:dyDescent="0.25">
      <c r="A9" s="8">
        <v>8</v>
      </c>
      <c r="B9" s="2" t="s">
        <v>2057</v>
      </c>
    </row>
    <row r="10" spans="1:2" x14ac:dyDescent="0.25">
      <c r="A10" s="8">
        <v>9</v>
      </c>
      <c r="B10" s="2" t="s">
        <v>2058</v>
      </c>
    </row>
    <row r="11" spans="1:2" x14ac:dyDescent="0.25">
      <c r="A11" s="8">
        <v>96</v>
      </c>
      <c r="B11" s="2" t="s">
        <v>1750</v>
      </c>
    </row>
    <row r="12" spans="1:2" x14ac:dyDescent="0.25">
      <c r="A12" s="8">
        <v>11</v>
      </c>
      <c r="B12" s="2" t="s">
        <v>2059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heetViews>
  <sheetFormatPr defaultRowHeight="15" x14ac:dyDescent="0.25"/>
  <cols>
    <col min="1" max="1" width="9.140625" style="7"/>
    <col min="2" max="2" width="77.42578125" style="7" bestFit="1" customWidth="1"/>
  </cols>
  <sheetData>
    <row r="1" spans="1:2" x14ac:dyDescent="0.25">
      <c r="A1" s="11" t="s">
        <v>1915</v>
      </c>
      <c r="B1" s="11" t="s">
        <v>2049</v>
      </c>
    </row>
    <row r="2" spans="1:2" x14ac:dyDescent="0.25">
      <c r="A2" s="7">
        <v>1</v>
      </c>
      <c r="B2" s="25" t="s">
        <v>2060</v>
      </c>
    </row>
    <row r="3" spans="1:2" x14ac:dyDescent="0.25">
      <c r="A3" s="7">
        <v>2</v>
      </c>
      <c r="B3" s="25" t="s">
        <v>2061</v>
      </c>
    </row>
    <row r="4" spans="1:2" x14ac:dyDescent="0.25">
      <c r="A4" s="7">
        <v>3</v>
      </c>
      <c r="B4" s="25" t="s">
        <v>2062</v>
      </c>
    </row>
    <row r="5" spans="1:2" x14ac:dyDescent="0.25">
      <c r="A5" s="7">
        <v>4</v>
      </c>
      <c r="B5" s="25" t="s">
        <v>2063</v>
      </c>
    </row>
    <row r="6" spans="1:2" x14ac:dyDescent="0.25">
      <c r="A6" s="7">
        <v>5</v>
      </c>
      <c r="B6" s="25" t="s">
        <v>2064</v>
      </c>
    </row>
    <row r="7" spans="1:2" x14ac:dyDescent="0.25">
      <c r="A7" s="7">
        <v>6</v>
      </c>
      <c r="B7" s="25" t="s">
        <v>2065</v>
      </c>
    </row>
    <row r="8" spans="1:2" x14ac:dyDescent="0.25">
      <c r="A8" s="7">
        <v>7</v>
      </c>
      <c r="B8" s="25" t="s">
        <v>2066</v>
      </c>
    </row>
    <row r="9" spans="1:2" x14ac:dyDescent="0.25">
      <c r="A9" s="7">
        <v>8</v>
      </c>
      <c r="B9" s="25" t="s">
        <v>2067</v>
      </c>
    </row>
    <row r="10" spans="1:2" x14ac:dyDescent="0.25">
      <c r="A10" s="7">
        <v>9</v>
      </c>
      <c r="B10" s="25" t="s">
        <v>2068</v>
      </c>
    </row>
    <row r="11" spans="1:2" x14ac:dyDescent="0.25">
      <c r="A11" s="7">
        <v>10</v>
      </c>
      <c r="B11" s="25" t="s">
        <v>2069</v>
      </c>
    </row>
    <row r="12" spans="1:2" x14ac:dyDescent="0.25">
      <c r="A12" s="7">
        <v>11</v>
      </c>
      <c r="B12" s="22" t="s">
        <v>1910</v>
      </c>
    </row>
    <row r="13" spans="1:2" x14ac:dyDescent="0.25">
      <c r="A13" s="7">
        <v>96</v>
      </c>
      <c r="B13" s="22" t="s">
        <v>1779</v>
      </c>
    </row>
    <row r="14" spans="1:2" x14ac:dyDescent="0.25">
      <c r="A14" s="7">
        <v>99</v>
      </c>
      <c r="B14" s="22" t="s">
        <v>1783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RowHeight="15" x14ac:dyDescent="0.25"/>
  <cols>
    <col min="1" max="1" width="9.140625" style="27"/>
    <col min="2" max="2" width="58.42578125" style="27" customWidth="1"/>
    <col min="3" max="16384" width="9.140625" style="27"/>
  </cols>
  <sheetData>
    <row r="1" spans="1:2" x14ac:dyDescent="0.25">
      <c r="A1" s="26" t="s">
        <v>1915</v>
      </c>
      <c r="B1" s="26" t="s">
        <v>2049</v>
      </c>
    </row>
    <row r="2" spans="1:2" x14ac:dyDescent="0.25">
      <c r="A2" s="28">
        <v>1</v>
      </c>
      <c r="B2" s="25" t="s">
        <v>2070</v>
      </c>
    </row>
    <row r="3" spans="1:2" ht="24" x14ac:dyDescent="0.25">
      <c r="A3" s="28">
        <v>2</v>
      </c>
      <c r="B3" s="25" t="s">
        <v>2071</v>
      </c>
    </row>
    <row r="4" spans="1:2" x14ac:dyDescent="0.25">
      <c r="A4" s="28">
        <v>3</v>
      </c>
      <c r="B4" s="25" t="s">
        <v>2072</v>
      </c>
    </row>
    <row r="5" spans="1:2" x14ac:dyDescent="0.25">
      <c r="A5" s="28">
        <v>4</v>
      </c>
      <c r="B5" s="25" t="s">
        <v>2073</v>
      </c>
    </row>
    <row r="6" spans="1:2" x14ac:dyDescent="0.25">
      <c r="A6" s="28">
        <v>5</v>
      </c>
      <c r="B6" s="25" t="s">
        <v>2074</v>
      </c>
    </row>
    <row r="7" spans="1:2" x14ac:dyDescent="0.25">
      <c r="A7" s="28">
        <v>6</v>
      </c>
      <c r="B7" s="25" t="s">
        <v>2075</v>
      </c>
    </row>
    <row r="8" spans="1:2" x14ac:dyDescent="0.25">
      <c r="A8" s="28">
        <v>7</v>
      </c>
      <c r="B8" s="25" t="s">
        <v>2076</v>
      </c>
    </row>
    <row r="9" spans="1:2" x14ac:dyDescent="0.25">
      <c r="A9" s="28">
        <v>8</v>
      </c>
      <c r="B9" s="25" t="s">
        <v>2077</v>
      </c>
    </row>
    <row r="10" spans="1:2" x14ac:dyDescent="0.25">
      <c r="A10" s="28">
        <v>9</v>
      </c>
      <c r="B10" s="25" t="s">
        <v>2078</v>
      </c>
    </row>
    <row r="11" spans="1:2" x14ac:dyDescent="0.25">
      <c r="A11" s="28">
        <v>10</v>
      </c>
      <c r="B11" s="25" t="s">
        <v>2079</v>
      </c>
    </row>
    <row r="12" spans="1:2" x14ac:dyDescent="0.25">
      <c r="A12" s="28">
        <v>11</v>
      </c>
      <c r="B12" s="25" t="s">
        <v>2080</v>
      </c>
    </row>
    <row r="13" spans="1:2" ht="24" x14ac:dyDescent="0.25">
      <c r="A13" s="28">
        <v>12</v>
      </c>
      <c r="B13" s="25" t="s">
        <v>2081</v>
      </c>
    </row>
    <row r="14" spans="1:2" ht="24" x14ac:dyDescent="0.25">
      <c r="A14" s="28">
        <v>13</v>
      </c>
      <c r="B14" s="25" t="s">
        <v>2082</v>
      </c>
    </row>
    <row r="15" spans="1:2" x14ac:dyDescent="0.25">
      <c r="A15" s="28">
        <v>96</v>
      </c>
      <c r="B15" s="25" t="s">
        <v>2083</v>
      </c>
    </row>
    <row r="16" spans="1:2" x14ac:dyDescent="0.25">
      <c r="A16" s="28">
        <v>99</v>
      </c>
      <c r="B16" s="25" t="s">
        <v>1783</v>
      </c>
    </row>
    <row r="17" spans="1:2" x14ac:dyDescent="0.25">
      <c r="A17" s="28">
        <v>16</v>
      </c>
      <c r="B17" s="25" t="s">
        <v>2084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heetViews>
  <sheetFormatPr defaultRowHeight="15" x14ac:dyDescent="0.25"/>
  <cols>
    <col min="2" max="2" width="49.42578125" customWidth="1"/>
  </cols>
  <sheetData>
    <row r="1" spans="1:2" x14ac:dyDescent="0.25">
      <c r="A1" s="11" t="s">
        <v>1915</v>
      </c>
      <c r="B1" s="11" t="s">
        <v>2049</v>
      </c>
    </row>
    <row r="2" spans="1:2" x14ac:dyDescent="0.25">
      <c r="A2" s="8">
        <v>1</v>
      </c>
      <c r="B2" s="16" t="s">
        <v>2340</v>
      </c>
    </row>
    <row r="3" spans="1:2" x14ac:dyDescent="0.25">
      <c r="A3" s="8">
        <v>2</v>
      </c>
      <c r="B3" s="16" t="s">
        <v>2343</v>
      </c>
    </row>
    <row r="4" spans="1:2" x14ac:dyDescent="0.25">
      <c r="A4" s="8">
        <v>3</v>
      </c>
      <c r="B4" s="16" t="s">
        <v>2085</v>
      </c>
    </row>
    <row r="5" spans="1:2" x14ac:dyDescent="0.25">
      <c r="A5" s="8">
        <v>4</v>
      </c>
      <c r="B5" s="16" t="s">
        <v>2086</v>
      </c>
    </row>
    <row r="6" spans="1:2" x14ac:dyDescent="0.25">
      <c r="A6" s="8">
        <v>5</v>
      </c>
      <c r="B6" s="16" t="s">
        <v>2087</v>
      </c>
    </row>
    <row r="7" spans="1:2" x14ac:dyDescent="0.25">
      <c r="A7" s="8">
        <v>6</v>
      </c>
      <c r="B7" s="16" t="s">
        <v>2088</v>
      </c>
    </row>
    <row r="8" spans="1:2" x14ac:dyDescent="0.25">
      <c r="A8" s="8">
        <v>7</v>
      </c>
      <c r="B8" s="16" t="s">
        <v>2089</v>
      </c>
    </row>
    <row r="9" spans="1:2" x14ac:dyDescent="0.25">
      <c r="A9" s="8">
        <v>8</v>
      </c>
      <c r="B9" s="16" t="s">
        <v>2341</v>
      </c>
    </row>
    <row r="10" spans="1:2" x14ac:dyDescent="0.25">
      <c r="A10" s="8">
        <v>9</v>
      </c>
      <c r="B10" s="16" t="s">
        <v>2090</v>
      </c>
    </row>
    <row r="11" spans="1:2" x14ac:dyDescent="0.25">
      <c r="A11" s="8">
        <v>10</v>
      </c>
      <c r="B11" s="16" t="s">
        <v>2091</v>
      </c>
    </row>
    <row r="12" spans="1:2" x14ac:dyDescent="0.25">
      <c r="A12" s="8">
        <v>11</v>
      </c>
      <c r="B12" s="16" t="s">
        <v>2092</v>
      </c>
    </row>
    <row r="13" spans="1:2" x14ac:dyDescent="0.25">
      <c r="A13" s="8">
        <v>12</v>
      </c>
      <c r="B13" s="16" t="s">
        <v>2093</v>
      </c>
    </row>
    <row r="14" spans="1:2" x14ac:dyDescent="0.25">
      <c r="A14" s="8">
        <v>96</v>
      </c>
      <c r="B14" s="16" t="s">
        <v>2083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8" sqref="B18"/>
    </sheetView>
  </sheetViews>
  <sheetFormatPr defaultRowHeight="15" x14ac:dyDescent="0.25"/>
  <cols>
    <col min="1" max="1" width="9.140625" style="27"/>
    <col min="2" max="2" width="48.5703125" style="27" customWidth="1"/>
    <col min="3" max="16384" width="9.140625" style="27"/>
  </cols>
  <sheetData>
    <row r="1" spans="1:2" x14ac:dyDescent="0.25">
      <c r="A1" s="26" t="s">
        <v>1915</v>
      </c>
      <c r="B1" s="26" t="s">
        <v>2049</v>
      </c>
    </row>
    <row r="2" spans="1:2" x14ac:dyDescent="0.25">
      <c r="A2" s="28">
        <v>1</v>
      </c>
      <c r="B2" s="25" t="s">
        <v>2094</v>
      </c>
    </row>
    <row r="3" spans="1:2" x14ac:dyDescent="0.25">
      <c r="A3" s="28">
        <v>2</v>
      </c>
      <c r="B3" s="25" t="s">
        <v>2095</v>
      </c>
    </row>
    <row r="4" spans="1:2" ht="41.25" customHeight="1" x14ac:dyDescent="0.25">
      <c r="A4" s="28">
        <v>3</v>
      </c>
      <c r="B4" s="25" t="s">
        <v>2096</v>
      </c>
    </row>
    <row r="5" spans="1:2" x14ac:dyDescent="0.25">
      <c r="A5" s="28">
        <v>4</v>
      </c>
      <c r="B5" s="29" t="s">
        <v>2097</v>
      </c>
    </row>
    <row r="6" spans="1:2" x14ac:dyDescent="0.25">
      <c r="A6" s="28">
        <v>5</v>
      </c>
      <c r="B6" s="29" t="s">
        <v>2098</v>
      </c>
    </row>
    <row r="7" spans="1:2" x14ac:dyDescent="0.25">
      <c r="A7" s="28">
        <v>6</v>
      </c>
      <c r="B7" s="25" t="s">
        <v>2099</v>
      </c>
    </row>
    <row r="8" spans="1:2" x14ac:dyDescent="0.25">
      <c r="A8" s="28">
        <v>7</v>
      </c>
      <c r="B8" s="25" t="s">
        <v>2100</v>
      </c>
    </row>
    <row r="9" spans="1:2" x14ac:dyDescent="0.25">
      <c r="A9" s="28">
        <v>8</v>
      </c>
      <c r="B9" s="25" t="s">
        <v>2101</v>
      </c>
    </row>
    <row r="10" spans="1:2" x14ac:dyDescent="0.25">
      <c r="A10" s="28">
        <v>9</v>
      </c>
      <c r="B10" s="25" t="s">
        <v>2102</v>
      </c>
    </row>
    <row r="11" spans="1:2" x14ac:dyDescent="0.25">
      <c r="A11" s="28">
        <v>10</v>
      </c>
      <c r="B11" s="29" t="s">
        <v>2103</v>
      </c>
    </row>
    <row r="12" spans="1:2" x14ac:dyDescent="0.25">
      <c r="A12" s="28">
        <v>11</v>
      </c>
      <c r="B12" s="29" t="s">
        <v>2104</v>
      </c>
    </row>
    <row r="13" spans="1:2" x14ac:dyDescent="0.25">
      <c r="A13" s="28">
        <v>12</v>
      </c>
      <c r="B13" s="29" t="s">
        <v>2105</v>
      </c>
    </row>
    <row r="14" spans="1:2" x14ac:dyDescent="0.25">
      <c r="A14" s="28">
        <v>13</v>
      </c>
      <c r="B14" s="29" t="s">
        <v>2106</v>
      </c>
    </row>
    <row r="15" spans="1:2" x14ac:dyDescent="0.25">
      <c r="A15" s="28">
        <v>96</v>
      </c>
      <c r="B15" s="25" t="s">
        <v>1779</v>
      </c>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2" max="2" width="73.28515625" customWidth="1"/>
  </cols>
  <sheetData>
    <row r="1" spans="1:2" x14ac:dyDescent="0.25">
      <c r="A1" s="11" t="s">
        <v>1915</v>
      </c>
      <c r="B1" s="11" t="s">
        <v>2049</v>
      </c>
    </row>
    <row r="2" spans="1:2" x14ac:dyDescent="0.25">
      <c r="A2" s="8">
        <v>1</v>
      </c>
      <c r="B2" s="30" t="s">
        <v>2107</v>
      </c>
    </row>
    <row r="3" spans="1:2" x14ac:dyDescent="0.25">
      <c r="A3" s="8">
        <v>2</v>
      </c>
      <c r="B3" s="30" t="s">
        <v>2108</v>
      </c>
    </row>
    <row r="4" spans="1:2" x14ac:dyDescent="0.25">
      <c r="A4" s="8">
        <v>3</v>
      </c>
      <c r="B4" s="30" t="s">
        <v>2109</v>
      </c>
    </row>
    <row r="5" spans="1:2" x14ac:dyDescent="0.25">
      <c r="A5" s="8">
        <v>4</v>
      </c>
      <c r="B5" s="30" t="s">
        <v>2110</v>
      </c>
    </row>
    <row r="6" spans="1:2" x14ac:dyDescent="0.25">
      <c r="A6" s="8">
        <v>5</v>
      </c>
      <c r="B6" s="30" t="s">
        <v>2111</v>
      </c>
    </row>
    <row r="7" spans="1:2" x14ac:dyDescent="0.25">
      <c r="A7" s="8">
        <v>6</v>
      </c>
      <c r="B7" s="30" t="s">
        <v>2112</v>
      </c>
    </row>
    <row r="8" spans="1:2" x14ac:dyDescent="0.25">
      <c r="A8" s="8">
        <v>7</v>
      </c>
      <c r="B8" s="30" t="s">
        <v>2113</v>
      </c>
    </row>
    <row r="9" spans="1:2" x14ac:dyDescent="0.25">
      <c r="A9" s="8">
        <v>96</v>
      </c>
      <c r="B9" s="30" t="s">
        <v>1779</v>
      </c>
    </row>
    <row r="10" spans="1:2" x14ac:dyDescent="0.25">
      <c r="A10" s="8">
        <v>99</v>
      </c>
      <c r="B10" s="31" t="s">
        <v>1783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B18" sqref="B18"/>
    </sheetView>
  </sheetViews>
  <sheetFormatPr defaultRowHeight="15" x14ac:dyDescent="0.25"/>
  <cols>
    <col min="2" max="2" width="106.42578125" bestFit="1" customWidth="1"/>
  </cols>
  <sheetData>
    <row r="1" spans="1:2" x14ac:dyDescent="0.25">
      <c r="A1" s="12" t="s">
        <v>1915</v>
      </c>
      <c r="B1" s="11" t="s">
        <v>1916</v>
      </c>
    </row>
    <row r="2" spans="1:2" x14ac:dyDescent="0.25">
      <c r="A2" s="28">
        <v>1</v>
      </c>
      <c r="B2" s="9" t="s">
        <v>2114</v>
      </c>
    </row>
    <row r="3" spans="1:2" ht="25.5" x14ac:dyDescent="0.25">
      <c r="A3" s="28">
        <v>2</v>
      </c>
      <c r="B3" s="9" t="s">
        <v>2115</v>
      </c>
    </row>
    <row r="4" spans="1:2" x14ac:dyDescent="0.25">
      <c r="A4" s="28">
        <v>3</v>
      </c>
      <c r="B4" s="9" t="s">
        <v>2116</v>
      </c>
    </row>
    <row r="5" spans="1:2" x14ac:dyDescent="0.25">
      <c r="A5" s="28">
        <v>4</v>
      </c>
      <c r="B5" s="9" t="s">
        <v>2117</v>
      </c>
    </row>
    <row r="6" spans="1:2" x14ac:dyDescent="0.25">
      <c r="A6" s="28">
        <v>5</v>
      </c>
      <c r="B6" s="9" t="s">
        <v>2118</v>
      </c>
    </row>
    <row r="7" spans="1:2" x14ac:dyDescent="0.25">
      <c r="A7" s="28">
        <v>6</v>
      </c>
      <c r="B7" s="9" t="s">
        <v>2119</v>
      </c>
    </row>
    <row r="8" spans="1:2" x14ac:dyDescent="0.25">
      <c r="A8" s="28">
        <v>7</v>
      </c>
      <c r="B8" s="9" t="s">
        <v>2120</v>
      </c>
    </row>
    <row r="9" spans="1:2" x14ac:dyDescent="0.25">
      <c r="A9" s="28">
        <v>8</v>
      </c>
      <c r="B9" s="9" t="s">
        <v>2121</v>
      </c>
    </row>
    <row r="10" spans="1:2" x14ac:dyDescent="0.25">
      <c r="A10" s="28">
        <v>9</v>
      </c>
      <c r="B10" s="9" t="s">
        <v>2122</v>
      </c>
    </row>
    <row r="11" spans="1:2" x14ac:dyDescent="0.25">
      <c r="A11" s="28">
        <v>10</v>
      </c>
      <c r="B11" s="9" t="s">
        <v>2123</v>
      </c>
    </row>
    <row r="12" spans="1:2" x14ac:dyDescent="0.25">
      <c r="A12" s="28">
        <v>11</v>
      </c>
      <c r="B12" s="9" t="s">
        <v>2124</v>
      </c>
    </row>
    <row r="13" spans="1:2" x14ac:dyDescent="0.25">
      <c r="A13" s="28">
        <v>12</v>
      </c>
      <c r="B13" s="9" t="s">
        <v>2125</v>
      </c>
    </row>
    <row r="14" spans="1:2" x14ac:dyDescent="0.25">
      <c r="A14" s="28">
        <v>13</v>
      </c>
      <c r="B14" s="9" t="s">
        <v>2126</v>
      </c>
    </row>
    <row r="15" spans="1:2" x14ac:dyDescent="0.25">
      <c r="A15" s="28">
        <v>14</v>
      </c>
      <c r="B15" s="9" t="s">
        <v>2127</v>
      </c>
    </row>
    <row r="16" spans="1:2" x14ac:dyDescent="0.25">
      <c r="A16" s="28">
        <v>15</v>
      </c>
      <c r="B16" s="9" t="s">
        <v>2128</v>
      </c>
    </row>
    <row r="17" spans="1:2" x14ac:dyDescent="0.25">
      <c r="A17" s="28">
        <v>16</v>
      </c>
      <c r="B17" s="9" t="s">
        <v>2129</v>
      </c>
    </row>
    <row r="18" spans="1:2" x14ac:dyDescent="0.25">
      <c r="A18" s="45">
        <v>96</v>
      </c>
      <c r="B18" s="9" t="s">
        <v>1779</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8"/>
  <sheetViews>
    <sheetView topLeftCell="K1" workbookViewId="0">
      <selection activeCell="M8" sqref="M8"/>
    </sheetView>
  </sheetViews>
  <sheetFormatPr defaultRowHeight="15" x14ac:dyDescent="0.25"/>
  <cols>
    <col min="1" max="1" width="21.7109375" style="7" customWidth="1"/>
    <col min="2" max="2" width="51.140625" style="7" customWidth="1"/>
    <col min="3" max="3" width="21.7109375" style="7" customWidth="1"/>
    <col min="4" max="4" width="75.85546875" style="7" customWidth="1"/>
    <col min="5" max="5" width="60.5703125" style="7" customWidth="1"/>
    <col min="6" max="6" width="21.7109375" style="7" customWidth="1"/>
    <col min="7" max="7" width="66.28515625" style="7" customWidth="1"/>
    <col min="8" max="8" width="45.7109375" style="7" customWidth="1"/>
    <col min="9" max="10" width="21.7109375" style="7" customWidth="1"/>
    <col min="11" max="11" width="53.42578125" style="7" customWidth="1"/>
    <col min="12" max="12" width="41.5703125" style="7" customWidth="1"/>
    <col min="13" max="13" width="63.7109375" style="7" customWidth="1"/>
    <col min="14" max="14" width="64.85546875" style="7" customWidth="1"/>
    <col min="15" max="15" width="21.7109375" style="7" customWidth="1"/>
    <col min="16" max="16" width="68.5703125" style="7" customWidth="1"/>
    <col min="17" max="17" width="21.7109375" style="7" customWidth="1"/>
    <col min="18" max="18" width="45.140625" style="7" customWidth="1"/>
    <col min="19" max="19" width="56.42578125" style="7" customWidth="1"/>
    <col min="20" max="20" width="47.85546875" style="7" customWidth="1"/>
    <col min="21" max="21" width="81" style="7" customWidth="1"/>
    <col min="22" max="22" width="49.85546875" style="7" customWidth="1"/>
    <col min="23" max="23" width="28.5703125" style="7" customWidth="1"/>
    <col min="24" max="24" width="93" style="7" customWidth="1"/>
    <col min="25" max="25" width="21.7109375" style="7" customWidth="1"/>
    <col min="26" max="26" width="61.5703125" style="7" customWidth="1"/>
    <col min="27" max="27" width="83.85546875" style="7" customWidth="1"/>
    <col min="28" max="28" width="54.28515625" style="7" customWidth="1"/>
    <col min="29" max="29" width="64" style="7" customWidth="1"/>
    <col min="30" max="30" width="51.7109375" style="7" customWidth="1"/>
    <col min="31" max="31" width="30.140625" style="7" customWidth="1"/>
    <col min="32" max="32" width="46.5703125" style="7" customWidth="1"/>
    <col min="33" max="33" width="21.7109375" style="7" customWidth="1"/>
    <col min="34" max="34" width="39.140625" style="7" customWidth="1"/>
    <col min="35" max="36" width="21.7109375" style="7" customWidth="1"/>
    <col min="37" max="37" width="55.42578125" style="7" customWidth="1"/>
    <col min="38" max="39" width="21.7109375" style="7" customWidth="1"/>
    <col min="40" max="40" width="29.7109375" style="7" bestFit="1" customWidth="1"/>
    <col min="41" max="41" width="21.7109375" style="7" customWidth="1"/>
    <col min="43" max="46" width="21.7109375" style="7" customWidth="1"/>
  </cols>
  <sheetData>
    <row r="1" spans="1:56" s="21" customFormat="1" x14ac:dyDescent="0.25">
      <c r="A1" s="23" t="s">
        <v>1555</v>
      </c>
      <c r="B1" s="23" t="s">
        <v>1556</v>
      </c>
      <c r="C1" s="23" t="s">
        <v>1557</v>
      </c>
      <c r="D1" s="23" t="s">
        <v>1558</v>
      </c>
      <c r="E1" s="23" t="s">
        <v>1559</v>
      </c>
      <c r="F1" s="23" t="s">
        <v>1560</v>
      </c>
      <c r="G1" s="23" t="s">
        <v>1561</v>
      </c>
      <c r="H1" s="23" t="s">
        <v>1562</v>
      </c>
      <c r="I1" s="23" t="s">
        <v>1563</v>
      </c>
      <c r="J1" s="23"/>
      <c r="K1" s="23" t="s">
        <v>1564</v>
      </c>
      <c r="L1" s="23" t="s">
        <v>1565</v>
      </c>
      <c r="M1" s="23" t="s">
        <v>1566</v>
      </c>
      <c r="N1" s="23" t="s">
        <v>1567</v>
      </c>
      <c r="O1" s="23" t="s">
        <v>1568</v>
      </c>
      <c r="P1" s="23" t="s">
        <v>1569</v>
      </c>
      <c r="Q1" s="23" t="s">
        <v>1570</v>
      </c>
      <c r="R1" s="23" t="s">
        <v>1571</v>
      </c>
      <c r="S1" s="23" t="s">
        <v>1572</v>
      </c>
      <c r="T1" s="23" t="s">
        <v>1573</v>
      </c>
      <c r="U1" s="23" t="s">
        <v>1574</v>
      </c>
      <c r="V1" s="23" t="s">
        <v>1575</v>
      </c>
      <c r="W1" s="23" t="s">
        <v>1576</v>
      </c>
      <c r="X1" s="23" t="s">
        <v>1577</v>
      </c>
      <c r="Y1" s="23" t="s">
        <v>1578</v>
      </c>
      <c r="Z1" s="23" t="s">
        <v>1579</v>
      </c>
      <c r="AA1" s="23" t="s">
        <v>1580</v>
      </c>
      <c r="AB1" s="23" t="s">
        <v>1581</v>
      </c>
      <c r="AC1" s="23" t="s">
        <v>1582</v>
      </c>
      <c r="AD1" s="23" t="s">
        <v>1583</v>
      </c>
      <c r="AE1" s="23" t="s">
        <v>1584</v>
      </c>
      <c r="AF1" s="23" t="s">
        <v>1585</v>
      </c>
      <c r="AG1" s="23" t="s">
        <v>1586</v>
      </c>
      <c r="AH1" s="23" t="s">
        <v>1587</v>
      </c>
      <c r="AI1" s="23" t="s">
        <v>1588</v>
      </c>
      <c r="AJ1" s="23" t="s">
        <v>1589</v>
      </c>
      <c r="AK1" s="23" t="s">
        <v>1590</v>
      </c>
      <c r="AL1" s="23" t="s">
        <v>1591</v>
      </c>
      <c r="AM1" s="23" t="s">
        <v>1592</v>
      </c>
      <c r="AN1" s="23" t="s">
        <v>1593</v>
      </c>
      <c r="AO1" s="23" t="s">
        <v>1557</v>
      </c>
      <c r="AQ1" s="23"/>
      <c r="AR1" s="23"/>
      <c r="AS1" s="23"/>
      <c r="AT1" s="23"/>
    </row>
    <row r="2" spans="1:56" ht="15" customHeight="1" x14ac:dyDescent="0.25">
      <c r="A2" s="22" t="s">
        <v>1594</v>
      </c>
      <c r="B2" s="22" t="s">
        <v>1595</v>
      </c>
      <c r="C2" s="22" t="s">
        <v>1596</v>
      </c>
      <c r="D2" s="22" t="s">
        <v>1597</v>
      </c>
      <c r="E2" s="22" t="s">
        <v>1598</v>
      </c>
      <c r="F2" s="22" t="s">
        <v>1599</v>
      </c>
      <c r="G2" s="32" t="s">
        <v>1600</v>
      </c>
      <c r="H2" s="22" t="s">
        <v>1601</v>
      </c>
      <c r="I2" s="22" t="s">
        <v>1602</v>
      </c>
      <c r="J2" s="33"/>
      <c r="K2" s="22" t="s">
        <v>1603</v>
      </c>
      <c r="L2" s="22" t="s">
        <v>1604</v>
      </c>
      <c r="M2" s="22" t="s">
        <v>1605</v>
      </c>
      <c r="N2" s="22" t="s">
        <v>1606</v>
      </c>
      <c r="O2" s="22" t="s">
        <v>1607</v>
      </c>
      <c r="P2" s="22" t="s">
        <v>1608</v>
      </c>
      <c r="Q2" s="22" t="s">
        <v>1609</v>
      </c>
      <c r="R2" s="22" t="s">
        <v>1610</v>
      </c>
      <c r="S2" s="22" t="s">
        <v>1611</v>
      </c>
      <c r="T2" s="22" t="s">
        <v>1612</v>
      </c>
      <c r="U2" s="22" t="s">
        <v>1613</v>
      </c>
      <c r="V2" s="22" t="s">
        <v>1614</v>
      </c>
      <c r="W2" s="7" t="s">
        <v>1615</v>
      </c>
      <c r="X2" s="22" t="s">
        <v>1616</v>
      </c>
      <c r="Y2" s="22" t="s">
        <v>1617</v>
      </c>
      <c r="Z2" s="22" t="s">
        <v>1618</v>
      </c>
      <c r="AA2" s="32" t="s">
        <v>1619</v>
      </c>
      <c r="AB2" s="32" t="s">
        <v>1620</v>
      </c>
      <c r="AC2" s="22" t="s">
        <v>1621</v>
      </c>
      <c r="AD2" s="22" t="s">
        <v>1622</v>
      </c>
      <c r="AE2" s="7" t="s">
        <v>1623</v>
      </c>
      <c r="AF2" s="22" t="s">
        <v>1624</v>
      </c>
      <c r="AG2" s="22" t="s">
        <v>1625</v>
      </c>
      <c r="AH2" s="7" t="s">
        <v>1626</v>
      </c>
      <c r="AI2" s="22" t="s">
        <v>1627</v>
      </c>
      <c r="AJ2" s="22" t="s">
        <v>1628</v>
      </c>
      <c r="AK2" s="22" t="s">
        <v>1629</v>
      </c>
      <c r="AL2" s="22" t="s">
        <v>1630</v>
      </c>
      <c r="AM2" s="22" t="s">
        <v>1631</v>
      </c>
      <c r="AN2" s="22" t="s">
        <v>1632</v>
      </c>
      <c r="AO2" s="22" t="s">
        <v>2334</v>
      </c>
      <c r="AQ2" s="22"/>
      <c r="AR2" s="22"/>
      <c r="AS2" s="22"/>
      <c r="AT2" s="22"/>
      <c r="AU2" s="7"/>
      <c r="AV2" s="7"/>
      <c r="AW2" s="7"/>
      <c r="AX2" s="7"/>
      <c r="AY2" s="7"/>
      <c r="AZ2" s="7"/>
      <c r="BA2" s="7"/>
      <c r="BB2" s="7"/>
      <c r="BC2" s="7"/>
      <c r="BD2" s="8"/>
    </row>
    <row r="3" spans="1:56" x14ac:dyDescent="0.25">
      <c r="A3" s="22" t="s">
        <v>1633</v>
      </c>
      <c r="B3" s="22" t="s">
        <v>1634</v>
      </c>
      <c r="C3" s="22" t="s">
        <v>1635</v>
      </c>
      <c r="D3" s="22" t="s">
        <v>1636</v>
      </c>
      <c r="E3" s="22" t="s">
        <v>1637</v>
      </c>
      <c r="F3" s="22" t="s">
        <v>1638</v>
      </c>
      <c r="G3" s="32" t="s">
        <v>1639</v>
      </c>
      <c r="H3" s="22" t="s">
        <v>1640</v>
      </c>
      <c r="I3" s="22" t="s">
        <v>1641</v>
      </c>
      <c r="J3" s="33"/>
      <c r="K3" s="22" t="s">
        <v>1642</v>
      </c>
      <c r="L3" s="22" t="s">
        <v>1643</v>
      </c>
      <c r="M3" s="22" t="s">
        <v>1644</v>
      </c>
      <c r="N3" s="22" t="s">
        <v>1645</v>
      </c>
      <c r="O3" s="22" t="s">
        <v>1646</v>
      </c>
      <c r="P3" s="22" t="s">
        <v>1647</v>
      </c>
      <c r="Q3" s="22" t="s">
        <v>1648</v>
      </c>
      <c r="R3" s="22" t="s">
        <v>1649</v>
      </c>
      <c r="S3" s="22" t="s">
        <v>1650</v>
      </c>
      <c r="T3" s="22" t="s">
        <v>1651</v>
      </c>
      <c r="U3" s="22" t="s">
        <v>1652</v>
      </c>
      <c r="V3" s="22" t="s">
        <v>1653</v>
      </c>
      <c r="W3" s="7" t="s">
        <v>1654</v>
      </c>
      <c r="X3" s="44" t="s">
        <v>1655</v>
      </c>
      <c r="Y3" s="22" t="s">
        <v>1655</v>
      </c>
      <c r="Z3" s="22" t="s">
        <v>1656</v>
      </c>
      <c r="AA3" s="32" t="s">
        <v>1657</v>
      </c>
      <c r="AB3" s="32" t="s">
        <v>1644</v>
      </c>
      <c r="AC3" s="22" t="s">
        <v>1658</v>
      </c>
      <c r="AD3" s="22" t="s">
        <v>1659</v>
      </c>
      <c r="AE3" s="7" t="s">
        <v>1660</v>
      </c>
      <c r="AF3" s="22" t="s">
        <v>1661</v>
      </c>
      <c r="AG3" s="22" t="s">
        <v>1662</v>
      </c>
      <c r="AH3" s="7" t="s">
        <v>1663</v>
      </c>
      <c r="AI3" s="22" t="s">
        <v>1664</v>
      </c>
      <c r="AJ3" s="7" t="s">
        <v>1665</v>
      </c>
      <c r="AK3" s="22" t="s">
        <v>1666</v>
      </c>
      <c r="AL3" s="22" t="s">
        <v>1667</v>
      </c>
      <c r="AM3" s="22" t="s">
        <v>1668</v>
      </c>
      <c r="AN3" s="22" t="s">
        <v>1669</v>
      </c>
      <c r="AO3" s="22" t="s">
        <v>2335</v>
      </c>
      <c r="AQ3" s="22"/>
      <c r="AR3" s="22"/>
      <c r="AS3" s="22"/>
      <c r="AT3" s="22"/>
      <c r="AU3" s="7"/>
      <c r="AV3" s="7"/>
      <c r="AW3" s="7"/>
      <c r="AX3" s="7"/>
      <c r="AY3" s="7"/>
      <c r="AZ3" s="7"/>
      <c r="BA3" s="7"/>
      <c r="BB3" s="7"/>
      <c r="BC3" s="7"/>
      <c r="BD3" s="8"/>
    </row>
    <row r="4" spans="1:56" ht="15" customHeight="1" x14ac:dyDescent="0.25">
      <c r="A4" s="22" t="s">
        <v>1670</v>
      </c>
      <c r="B4" s="22" t="s">
        <v>1671</v>
      </c>
      <c r="C4" s="22" t="s">
        <v>1672</v>
      </c>
      <c r="D4" s="22" t="s">
        <v>1673</v>
      </c>
      <c r="E4" s="22" t="s">
        <v>1674</v>
      </c>
      <c r="F4" s="22" t="s">
        <v>1675</v>
      </c>
      <c r="G4" s="32" t="s">
        <v>2394</v>
      </c>
      <c r="H4" s="22" t="s">
        <v>1676</v>
      </c>
      <c r="I4" s="22" t="s">
        <v>1677</v>
      </c>
      <c r="J4" s="33"/>
      <c r="K4" s="22" t="s">
        <v>1678</v>
      </c>
      <c r="L4" s="22" t="s">
        <v>1679</v>
      </c>
      <c r="M4" s="22" t="s">
        <v>1680</v>
      </c>
      <c r="N4" s="22" t="s">
        <v>1681</v>
      </c>
      <c r="O4" s="22" t="s">
        <v>1682</v>
      </c>
      <c r="P4" s="22" t="s">
        <v>1683</v>
      </c>
      <c r="Q4" s="22" t="s">
        <v>1684</v>
      </c>
      <c r="R4" s="22" t="s">
        <v>1685</v>
      </c>
      <c r="S4" s="22" t="s">
        <v>1686</v>
      </c>
      <c r="T4" s="22" t="s">
        <v>1687</v>
      </c>
      <c r="U4" s="22" t="s">
        <v>1688</v>
      </c>
      <c r="V4" s="22" t="s">
        <v>1689</v>
      </c>
      <c r="W4" s="7" t="s">
        <v>1690</v>
      </c>
      <c r="X4" s="44" t="s">
        <v>1691</v>
      </c>
      <c r="Y4" s="44" t="s">
        <v>1691</v>
      </c>
      <c r="Z4" s="22" t="s">
        <v>1692</v>
      </c>
      <c r="AA4" s="32" t="s">
        <v>1693</v>
      </c>
      <c r="AB4" s="32" t="s">
        <v>1694</v>
      </c>
      <c r="AC4" s="22" t="s">
        <v>1695</v>
      </c>
      <c r="AD4" s="22" t="s">
        <v>1696</v>
      </c>
      <c r="AE4" s="7" t="s">
        <v>1697</v>
      </c>
      <c r="AF4" s="22" t="s">
        <v>1698</v>
      </c>
      <c r="AG4" s="22" t="s">
        <v>1699</v>
      </c>
      <c r="AH4" s="7" t="s">
        <v>1617</v>
      </c>
      <c r="AI4" s="22" t="s">
        <v>1700</v>
      </c>
      <c r="AJ4" s="7" t="s">
        <v>1701</v>
      </c>
      <c r="AK4" s="22" t="s">
        <v>1702</v>
      </c>
      <c r="AL4" s="22" t="s">
        <v>1703</v>
      </c>
      <c r="AM4" s="22" t="s">
        <v>1704</v>
      </c>
      <c r="AN4" s="22" t="s">
        <v>1705</v>
      </c>
      <c r="AO4" s="22" t="s">
        <v>2336</v>
      </c>
      <c r="AQ4" s="22"/>
      <c r="AR4" s="22"/>
      <c r="AS4" s="22"/>
      <c r="AT4" s="22"/>
      <c r="AU4" s="7"/>
      <c r="AV4" s="7"/>
      <c r="AW4" s="7"/>
      <c r="AX4" s="7"/>
      <c r="AY4" s="7"/>
      <c r="AZ4" s="7"/>
      <c r="BA4" s="7"/>
      <c r="BB4" s="7"/>
      <c r="BC4" s="7"/>
      <c r="BD4" s="8"/>
    </row>
    <row r="5" spans="1:56" x14ac:dyDescent="0.25">
      <c r="A5" s="22" t="s">
        <v>1706</v>
      </c>
      <c r="B5" s="22" t="s">
        <v>1707</v>
      </c>
      <c r="C5" s="22" t="s">
        <v>1708</v>
      </c>
      <c r="D5" s="22" t="s">
        <v>1709</v>
      </c>
      <c r="E5" s="22" t="s">
        <v>1710</v>
      </c>
      <c r="F5" s="22" t="s">
        <v>1711</v>
      </c>
      <c r="G5" s="32" t="s">
        <v>1712</v>
      </c>
      <c r="H5" s="22" t="s">
        <v>1713</v>
      </c>
      <c r="I5" s="22" t="s">
        <v>1714</v>
      </c>
      <c r="J5" s="33"/>
      <c r="K5" s="22" t="s">
        <v>1715</v>
      </c>
      <c r="L5" s="22" t="s">
        <v>1716</v>
      </c>
      <c r="M5" s="22" t="s">
        <v>1717</v>
      </c>
      <c r="N5" s="22" t="s">
        <v>1718</v>
      </c>
      <c r="O5" s="22" t="s">
        <v>1719</v>
      </c>
      <c r="P5" s="22" t="s">
        <v>1720</v>
      </c>
      <c r="Q5" s="22" t="s">
        <v>1721</v>
      </c>
      <c r="R5" s="22" t="s">
        <v>1722</v>
      </c>
      <c r="S5" s="22" t="s">
        <v>1723</v>
      </c>
      <c r="T5" s="22" t="s">
        <v>1724</v>
      </c>
      <c r="U5" s="22" t="s">
        <v>1725</v>
      </c>
      <c r="V5" s="22" t="s">
        <v>1726</v>
      </c>
      <c r="W5" s="7" t="s">
        <v>1727</v>
      </c>
      <c r="X5" s="44" t="s">
        <v>1728</v>
      </c>
      <c r="Y5" s="22" t="s">
        <v>1729</v>
      </c>
      <c r="Z5" s="22" t="s">
        <v>1730</v>
      </c>
      <c r="AA5" s="32" t="s">
        <v>1731</v>
      </c>
      <c r="AB5" s="32" t="s">
        <v>1732</v>
      </c>
      <c r="AC5" s="22" t="s">
        <v>1733</v>
      </c>
      <c r="AD5" s="22" t="s">
        <v>1734</v>
      </c>
      <c r="AE5" s="7" t="s">
        <v>1735</v>
      </c>
      <c r="AF5" s="22" t="s">
        <v>1736</v>
      </c>
      <c r="AG5" s="22" t="s">
        <v>1737</v>
      </c>
      <c r="AH5" s="7" t="s">
        <v>1738</v>
      </c>
      <c r="AI5" s="22" t="s">
        <v>1739</v>
      </c>
      <c r="AJ5" s="7" t="s">
        <v>1740</v>
      </c>
      <c r="AK5" s="22" t="s">
        <v>1741</v>
      </c>
      <c r="AL5" s="22" t="s">
        <v>1742</v>
      </c>
      <c r="AM5" s="22" t="s">
        <v>1743</v>
      </c>
      <c r="AN5" s="22" t="s">
        <v>1744</v>
      </c>
      <c r="AO5" s="22" t="s">
        <v>2337</v>
      </c>
      <c r="AQ5" s="22"/>
      <c r="AR5" s="22"/>
      <c r="AS5" s="22"/>
      <c r="AT5" s="22"/>
      <c r="AU5" s="7"/>
      <c r="AV5" s="7"/>
      <c r="AW5" s="7"/>
      <c r="AX5" s="7"/>
      <c r="AY5" s="7"/>
      <c r="AZ5" s="7"/>
      <c r="BA5" s="7"/>
      <c r="BB5" s="7"/>
      <c r="BC5" s="7"/>
      <c r="BD5" s="8"/>
    </row>
    <row r="6" spans="1:56" ht="15" customHeight="1" x14ac:dyDescent="0.25">
      <c r="A6" s="22" t="s">
        <v>1745</v>
      </c>
      <c r="B6" s="22" t="s">
        <v>1746</v>
      </c>
      <c r="C6" s="22" t="s">
        <v>1747</v>
      </c>
      <c r="D6" s="22" t="s">
        <v>1748</v>
      </c>
      <c r="E6" s="22" t="s">
        <v>1749</v>
      </c>
      <c r="F6" s="22" t="s">
        <v>1750</v>
      </c>
      <c r="G6" s="32" t="s">
        <v>1751</v>
      </c>
      <c r="H6" s="22" t="s">
        <v>1752</v>
      </c>
      <c r="I6" s="22"/>
      <c r="J6" s="33"/>
      <c r="K6" s="22"/>
      <c r="L6" s="22" t="s">
        <v>1753</v>
      </c>
      <c r="M6" s="22" t="s">
        <v>1754</v>
      </c>
      <c r="N6" s="22" t="s">
        <v>1755</v>
      </c>
      <c r="O6" s="22" t="s">
        <v>1756</v>
      </c>
      <c r="P6" s="22" t="s">
        <v>1757</v>
      </c>
      <c r="Q6" s="22" t="s">
        <v>1758</v>
      </c>
      <c r="R6" s="22" t="s">
        <v>1759</v>
      </c>
      <c r="S6" s="22" t="s">
        <v>1760</v>
      </c>
      <c r="T6" s="22" t="s">
        <v>1761</v>
      </c>
      <c r="U6" s="22" t="s">
        <v>1762</v>
      </c>
      <c r="V6" s="22" t="s">
        <v>1763</v>
      </c>
      <c r="W6" s="7" t="s">
        <v>1764</v>
      </c>
      <c r="X6" s="44" t="s">
        <v>1765</v>
      </c>
      <c r="Y6" s="22"/>
      <c r="Z6" s="22"/>
      <c r="AA6" s="32" t="s">
        <v>1766</v>
      </c>
      <c r="AB6" s="32" t="s">
        <v>1767</v>
      </c>
      <c r="AC6" s="22" t="s">
        <v>1768</v>
      </c>
      <c r="AD6" s="22" t="s">
        <v>1769</v>
      </c>
      <c r="AE6" s="7" t="s">
        <v>1770</v>
      </c>
      <c r="AF6" s="22" t="s">
        <v>1771</v>
      </c>
      <c r="AG6" s="22" t="s">
        <v>1750</v>
      </c>
      <c r="AH6" s="7" t="s">
        <v>1691</v>
      </c>
      <c r="AI6" s="22" t="s">
        <v>1772</v>
      </c>
      <c r="AJ6" s="7" t="s">
        <v>1773</v>
      </c>
      <c r="AK6" s="22" t="s">
        <v>1774</v>
      </c>
      <c r="AL6" s="22" t="s">
        <v>1775</v>
      </c>
      <c r="AM6" s="22" t="s">
        <v>1776</v>
      </c>
      <c r="AN6" s="22" t="s">
        <v>1777</v>
      </c>
      <c r="AO6" s="22" t="s">
        <v>2338</v>
      </c>
      <c r="AQ6" s="22"/>
      <c r="AR6" s="22"/>
      <c r="AS6" s="22"/>
      <c r="AT6" s="22"/>
      <c r="AU6" s="7"/>
      <c r="AV6" s="7"/>
      <c r="AW6" s="7"/>
      <c r="AX6" s="7"/>
      <c r="AY6" s="7"/>
      <c r="AZ6" s="7"/>
      <c r="BA6" s="7"/>
      <c r="BB6" s="7"/>
      <c r="BC6" s="7"/>
      <c r="BD6" s="8"/>
    </row>
    <row r="7" spans="1:56" x14ac:dyDescent="0.25">
      <c r="A7" s="22" t="s">
        <v>1778</v>
      </c>
      <c r="B7" s="22" t="s">
        <v>1779</v>
      </c>
      <c r="C7" s="22" t="s">
        <v>1780</v>
      </c>
      <c r="D7" s="22" t="s">
        <v>1781</v>
      </c>
      <c r="E7" s="22" t="s">
        <v>1782</v>
      </c>
      <c r="F7" s="22" t="s">
        <v>1783</v>
      </c>
      <c r="G7" s="32" t="s">
        <v>1784</v>
      </c>
      <c r="H7" s="22" t="s">
        <v>1785</v>
      </c>
      <c r="I7" s="22"/>
      <c r="J7" s="22"/>
      <c r="K7" s="22"/>
      <c r="L7" s="22" t="s">
        <v>1786</v>
      </c>
      <c r="M7" s="22" t="s">
        <v>2397</v>
      </c>
      <c r="N7" s="22" t="s">
        <v>1787</v>
      </c>
      <c r="O7" s="22" t="s">
        <v>1788</v>
      </c>
      <c r="P7" s="22" t="s">
        <v>1644</v>
      </c>
      <c r="Q7" s="22" t="s">
        <v>1789</v>
      </c>
      <c r="R7" s="22" t="s">
        <v>1790</v>
      </c>
      <c r="S7" s="22" t="s">
        <v>1791</v>
      </c>
      <c r="T7" s="22" t="s">
        <v>1792</v>
      </c>
      <c r="U7" s="22" t="s">
        <v>1793</v>
      </c>
      <c r="V7" s="22" t="s">
        <v>1794</v>
      </c>
      <c r="W7" s="7" t="s">
        <v>1795</v>
      </c>
      <c r="X7" s="44" t="s">
        <v>1796</v>
      </c>
      <c r="Y7" s="22"/>
      <c r="Z7" s="22"/>
      <c r="AA7" s="32" t="s">
        <v>1797</v>
      </c>
      <c r="AB7" s="32" t="s">
        <v>1617</v>
      </c>
      <c r="AC7" s="22" t="s">
        <v>1798</v>
      </c>
      <c r="AD7" s="22" t="s">
        <v>1799</v>
      </c>
      <c r="AE7" s="7" t="s">
        <v>1800</v>
      </c>
      <c r="AF7" s="22" t="s">
        <v>1801</v>
      </c>
      <c r="AG7" s="22"/>
      <c r="AH7" s="7" t="s">
        <v>1728</v>
      </c>
      <c r="AI7" s="22" t="s">
        <v>1750</v>
      </c>
      <c r="AJ7" s="7" t="s">
        <v>1802</v>
      </c>
      <c r="AK7" s="22" t="s">
        <v>1803</v>
      </c>
      <c r="AL7" s="22" t="s">
        <v>1804</v>
      </c>
      <c r="AM7" s="22" t="s">
        <v>1805</v>
      </c>
      <c r="AN7" s="22" t="s">
        <v>1806</v>
      </c>
      <c r="AO7" s="22" t="s">
        <v>2339</v>
      </c>
      <c r="AQ7" s="22"/>
      <c r="AR7" s="22"/>
      <c r="AS7" s="22"/>
      <c r="AT7" s="22"/>
      <c r="AU7" s="7"/>
      <c r="AV7" s="7"/>
      <c r="AW7" s="7"/>
      <c r="AX7" s="7"/>
      <c r="AY7" s="7"/>
      <c r="AZ7" s="7"/>
      <c r="BA7" s="7"/>
      <c r="BB7" s="7"/>
      <c r="BC7" s="7"/>
      <c r="BD7" s="8"/>
    </row>
    <row r="8" spans="1:56" ht="15" customHeight="1" x14ac:dyDescent="0.25">
      <c r="A8" s="22" t="s">
        <v>1807</v>
      </c>
      <c r="B8" s="22"/>
      <c r="C8" s="22" t="s">
        <v>1808</v>
      </c>
      <c r="D8" s="22" t="s">
        <v>1809</v>
      </c>
      <c r="E8" s="22"/>
      <c r="F8" s="22"/>
      <c r="G8" s="32" t="s">
        <v>1810</v>
      </c>
      <c r="H8" s="22" t="s">
        <v>1811</v>
      </c>
      <c r="I8" s="22"/>
      <c r="J8" s="22"/>
      <c r="K8" s="22"/>
      <c r="L8" s="22" t="s">
        <v>1812</v>
      </c>
      <c r="M8" s="22" t="s">
        <v>1750</v>
      </c>
      <c r="N8" s="22" t="s">
        <v>1813</v>
      </c>
      <c r="O8" s="22" t="s">
        <v>1814</v>
      </c>
      <c r="P8" s="41" t="s">
        <v>1750</v>
      </c>
      <c r="Q8" s="22" t="s">
        <v>1815</v>
      </c>
      <c r="R8" s="22" t="s">
        <v>1750</v>
      </c>
      <c r="S8" s="22" t="s">
        <v>1816</v>
      </c>
      <c r="T8" s="22" t="s">
        <v>1817</v>
      </c>
      <c r="U8" s="22" t="s">
        <v>1818</v>
      </c>
      <c r="V8" s="22"/>
      <c r="W8" s="7" t="s">
        <v>1819</v>
      </c>
      <c r="X8" s="44" t="s">
        <v>1820</v>
      </c>
      <c r="Y8" s="22"/>
      <c r="Z8" s="22"/>
      <c r="AA8" s="32" t="s">
        <v>1821</v>
      </c>
      <c r="AB8" s="32" t="s">
        <v>1822</v>
      </c>
      <c r="AC8" s="22" t="s">
        <v>1823</v>
      </c>
      <c r="AD8" s="22"/>
      <c r="AE8" s="22"/>
      <c r="AF8" s="22" t="s">
        <v>1824</v>
      </c>
      <c r="AG8" s="22"/>
      <c r="AH8" s="7" t="s">
        <v>1825</v>
      </c>
      <c r="AI8" s="22"/>
      <c r="AJ8" s="7" t="s">
        <v>1826</v>
      </c>
      <c r="AK8" s="22" t="s">
        <v>1827</v>
      </c>
      <c r="AL8" s="22" t="s">
        <v>1828</v>
      </c>
      <c r="AM8" s="22" t="s">
        <v>1750</v>
      </c>
      <c r="AN8" s="22" t="s">
        <v>1829</v>
      </c>
      <c r="AO8" s="22" t="s">
        <v>1779</v>
      </c>
      <c r="AQ8" s="22"/>
      <c r="AR8" s="22"/>
      <c r="AS8" s="22"/>
      <c r="AT8" s="22"/>
      <c r="AU8" s="7"/>
      <c r="AV8" s="7"/>
      <c r="AW8" s="7"/>
      <c r="AX8" s="7"/>
      <c r="AY8" s="7"/>
      <c r="AZ8" s="7"/>
      <c r="BA8" s="7"/>
      <c r="BB8" s="7"/>
      <c r="BC8" s="7"/>
      <c r="BD8" s="8"/>
    </row>
    <row r="9" spans="1:56" x14ac:dyDescent="0.25">
      <c r="A9" s="22" t="s">
        <v>1830</v>
      </c>
      <c r="B9" s="22"/>
      <c r="C9" s="22" t="s">
        <v>1831</v>
      </c>
      <c r="D9" s="22" t="s">
        <v>1832</v>
      </c>
      <c r="E9" s="22"/>
      <c r="F9" s="22"/>
      <c r="G9" s="32" t="s">
        <v>1833</v>
      </c>
      <c r="H9" s="22" t="s">
        <v>1779</v>
      </c>
      <c r="I9" s="22"/>
      <c r="J9" s="22"/>
      <c r="K9" s="22"/>
      <c r="L9" s="22" t="s">
        <v>1750</v>
      </c>
      <c r="M9" s="22"/>
      <c r="N9" s="22" t="s">
        <v>1834</v>
      </c>
      <c r="O9" s="22" t="s">
        <v>1835</v>
      </c>
      <c r="P9" s="22"/>
      <c r="Q9" s="22" t="s">
        <v>1836</v>
      </c>
      <c r="R9" s="22"/>
      <c r="S9" s="22" t="s">
        <v>1837</v>
      </c>
      <c r="T9" s="22" t="s">
        <v>1750</v>
      </c>
      <c r="U9" s="22" t="s">
        <v>1838</v>
      </c>
      <c r="V9" s="22"/>
      <c r="W9" s="7" t="s">
        <v>1839</v>
      </c>
      <c r="X9" s="44" t="s">
        <v>1840</v>
      </c>
      <c r="Y9" s="22"/>
      <c r="Z9" s="22"/>
      <c r="AA9" s="32" t="s">
        <v>1841</v>
      </c>
      <c r="AB9" s="32" t="s">
        <v>1842</v>
      </c>
      <c r="AC9" s="22" t="s">
        <v>1843</v>
      </c>
      <c r="AD9" s="22"/>
      <c r="AE9" s="22"/>
      <c r="AF9" s="22"/>
      <c r="AG9" s="22"/>
      <c r="AH9" s="7" t="s">
        <v>1844</v>
      </c>
      <c r="AI9" s="22"/>
      <c r="AJ9" s="7" t="s">
        <v>1845</v>
      </c>
      <c r="AK9" s="22" t="s">
        <v>1846</v>
      </c>
      <c r="AL9" s="22" t="s">
        <v>1847</v>
      </c>
      <c r="AM9" s="22" t="s">
        <v>1783</v>
      </c>
      <c r="AN9" s="22" t="s">
        <v>1848</v>
      </c>
      <c r="AO9" s="22" t="s">
        <v>1783</v>
      </c>
      <c r="AQ9" s="22"/>
      <c r="AR9" s="22"/>
      <c r="AS9" s="22"/>
      <c r="AT9" s="22"/>
      <c r="AU9" s="7"/>
      <c r="AV9" s="7"/>
      <c r="AW9" s="7"/>
      <c r="AX9" s="7"/>
      <c r="AY9" s="7"/>
      <c r="AZ9" s="7"/>
      <c r="BA9" s="7"/>
      <c r="BB9" s="7"/>
      <c r="BC9" s="7"/>
      <c r="BD9" s="8"/>
    </row>
    <row r="10" spans="1:56" ht="15" customHeight="1" x14ac:dyDescent="0.25">
      <c r="A10" s="22" t="s">
        <v>1849</v>
      </c>
      <c r="B10" s="22"/>
      <c r="C10" s="22" t="s">
        <v>1850</v>
      </c>
      <c r="D10" s="22"/>
      <c r="E10" s="22"/>
      <c r="F10" s="22"/>
      <c r="G10" s="32" t="s">
        <v>1851</v>
      </c>
      <c r="H10" s="22"/>
      <c r="I10" s="22"/>
      <c r="J10" s="22"/>
      <c r="K10" s="22"/>
      <c r="L10" s="22"/>
      <c r="M10" s="22"/>
      <c r="N10" s="22" t="s">
        <v>1852</v>
      </c>
      <c r="O10" s="22" t="s">
        <v>1853</v>
      </c>
      <c r="P10" s="22"/>
      <c r="Q10" s="22" t="s">
        <v>1779</v>
      </c>
      <c r="R10" s="22"/>
      <c r="S10" s="22" t="s">
        <v>1854</v>
      </c>
      <c r="T10" s="22"/>
      <c r="U10" s="22" t="s">
        <v>1855</v>
      </c>
      <c r="V10" s="22"/>
      <c r="W10" s="7" t="s">
        <v>1856</v>
      </c>
      <c r="X10" s="44" t="s">
        <v>1857</v>
      </c>
      <c r="Y10" s="22"/>
      <c r="Z10" s="22"/>
      <c r="AA10" s="32" t="s">
        <v>1858</v>
      </c>
      <c r="AB10" s="32" t="s">
        <v>1691</v>
      </c>
      <c r="AC10" s="22" t="s">
        <v>1859</v>
      </c>
      <c r="AD10" s="22"/>
      <c r="AE10" s="22"/>
      <c r="AF10" s="22"/>
      <c r="AG10" s="22"/>
      <c r="AH10" s="7" t="s">
        <v>1860</v>
      </c>
      <c r="AI10" s="22"/>
      <c r="AJ10" s="7" t="s">
        <v>1861</v>
      </c>
      <c r="AK10" s="22" t="s">
        <v>1862</v>
      </c>
      <c r="AL10" s="22" t="s">
        <v>1750</v>
      </c>
      <c r="AM10" s="22"/>
      <c r="AN10" s="22" t="s">
        <v>1863</v>
      </c>
      <c r="AO10" s="22"/>
      <c r="AQ10" s="22"/>
      <c r="AR10" s="22"/>
      <c r="AS10" s="22"/>
      <c r="AT10" s="22"/>
      <c r="AU10" s="7"/>
      <c r="AV10" s="7"/>
      <c r="AW10" s="7"/>
      <c r="AX10" s="7"/>
      <c r="AY10" s="7"/>
      <c r="AZ10" s="7"/>
      <c r="BA10" s="7"/>
      <c r="BB10" s="7"/>
      <c r="BC10" s="7"/>
      <c r="BD10" s="8"/>
    </row>
    <row r="11" spans="1:56" x14ac:dyDescent="0.25">
      <c r="A11" s="22" t="s">
        <v>1864</v>
      </c>
      <c r="B11" s="22"/>
      <c r="C11" s="22" t="s">
        <v>1865</v>
      </c>
      <c r="D11" s="22"/>
      <c r="E11" s="22"/>
      <c r="F11" s="22"/>
      <c r="G11" s="32" t="s">
        <v>1866</v>
      </c>
      <c r="H11" s="22"/>
      <c r="I11" s="22"/>
      <c r="J11" s="22"/>
      <c r="K11" s="22"/>
      <c r="L11" s="22"/>
      <c r="M11" s="22"/>
      <c r="N11" s="22"/>
      <c r="O11" s="22" t="s">
        <v>1783</v>
      </c>
      <c r="P11" s="22"/>
      <c r="Q11" s="22"/>
      <c r="R11" s="22"/>
      <c r="S11" s="22" t="s">
        <v>1619</v>
      </c>
      <c r="T11" s="22"/>
      <c r="U11" s="22" t="s">
        <v>1867</v>
      </c>
      <c r="V11" s="22"/>
      <c r="W11" s="7" t="s">
        <v>1868</v>
      </c>
      <c r="X11" s="44" t="s">
        <v>1869</v>
      </c>
      <c r="Y11" s="22"/>
      <c r="Z11" s="22"/>
      <c r="AA11" s="32" t="s">
        <v>1870</v>
      </c>
      <c r="AB11" s="32"/>
      <c r="AC11" s="22"/>
      <c r="AD11" s="22"/>
      <c r="AE11" s="22"/>
      <c r="AF11" s="22"/>
      <c r="AG11" s="22"/>
      <c r="AH11" s="7" t="s">
        <v>1871</v>
      </c>
      <c r="AI11" s="22"/>
      <c r="AJ11" s="22" t="s">
        <v>1750</v>
      </c>
      <c r="AK11" s="22" t="s">
        <v>1872</v>
      </c>
      <c r="AM11" s="22"/>
      <c r="AN11" s="22" t="s">
        <v>1873</v>
      </c>
      <c r="AO11" s="22"/>
      <c r="AQ11" s="22"/>
      <c r="AR11" s="22"/>
      <c r="AS11" s="22"/>
      <c r="AT11" s="22"/>
      <c r="AU11" s="7"/>
      <c r="AV11" s="7"/>
      <c r="AW11" s="7"/>
      <c r="AX11" s="7"/>
      <c r="AY11" s="7"/>
      <c r="AZ11" s="7"/>
      <c r="BA11" s="7"/>
      <c r="BB11" s="7"/>
      <c r="BC11" s="7"/>
      <c r="BD11" s="8"/>
    </row>
    <row r="12" spans="1:56" ht="15" customHeight="1" x14ac:dyDescent="0.25">
      <c r="A12" s="22" t="s">
        <v>1874</v>
      </c>
      <c r="B12" s="22"/>
      <c r="C12" s="22" t="s">
        <v>1875</v>
      </c>
      <c r="D12" s="22"/>
      <c r="E12" s="22"/>
      <c r="F12" s="22"/>
      <c r="G12" s="32" t="s">
        <v>1876</v>
      </c>
      <c r="H12" s="22"/>
      <c r="I12" s="22"/>
      <c r="J12" s="22"/>
      <c r="K12" s="22"/>
      <c r="L12" s="22"/>
      <c r="M12" s="22"/>
      <c r="N12" s="22"/>
      <c r="O12" s="22"/>
      <c r="P12" s="22"/>
      <c r="Q12" s="22"/>
      <c r="R12" s="22"/>
      <c r="S12" s="22" t="s">
        <v>1657</v>
      </c>
      <c r="T12" s="22"/>
      <c r="U12" s="22" t="s">
        <v>1877</v>
      </c>
      <c r="V12" s="22"/>
      <c r="W12" s="22" t="s">
        <v>1750</v>
      </c>
      <c r="X12" s="22"/>
      <c r="Y12" s="22"/>
      <c r="Z12" s="22"/>
      <c r="AA12" s="32" t="s">
        <v>1878</v>
      </c>
      <c r="AB12" s="32"/>
      <c r="AC12" s="22"/>
      <c r="AD12" s="22"/>
      <c r="AE12" s="22"/>
      <c r="AF12" s="22"/>
      <c r="AG12" s="22"/>
      <c r="AH12" s="7" t="s">
        <v>1879</v>
      </c>
      <c r="AI12" s="22"/>
      <c r="AJ12" s="22"/>
      <c r="AK12" s="22" t="s">
        <v>1880</v>
      </c>
      <c r="AL12" s="22"/>
      <c r="AM12" s="22"/>
      <c r="AN12" s="22"/>
      <c r="AO12" s="22"/>
      <c r="AQ12" s="22"/>
      <c r="AR12" s="22"/>
      <c r="AS12" s="22"/>
      <c r="AT12" s="22"/>
      <c r="AU12" s="7"/>
      <c r="AV12" s="7"/>
      <c r="AW12" s="7"/>
      <c r="AX12" s="7"/>
      <c r="AY12" s="7"/>
      <c r="AZ12" s="7"/>
      <c r="BA12" s="7"/>
      <c r="BB12" s="7"/>
      <c r="BC12" s="7"/>
      <c r="BD12" s="8"/>
    </row>
    <row r="13" spans="1:56" x14ac:dyDescent="0.25">
      <c r="A13" s="43" t="s">
        <v>1881</v>
      </c>
      <c r="C13" s="7" t="s">
        <v>1882</v>
      </c>
      <c r="G13" s="32" t="s">
        <v>1883</v>
      </c>
      <c r="S13" s="22" t="s">
        <v>1884</v>
      </c>
      <c r="T13" s="22"/>
      <c r="U13" s="22" t="s">
        <v>1885</v>
      </c>
      <c r="V13" s="22"/>
      <c r="AA13" s="32" t="s">
        <v>1886</v>
      </c>
      <c r="AB13" s="32"/>
      <c r="AH13" s="7" t="s">
        <v>1887</v>
      </c>
      <c r="AJ13" s="22"/>
      <c r="AK13" s="22" t="s">
        <v>1750</v>
      </c>
      <c r="AM13" s="22"/>
      <c r="AN13" s="22"/>
      <c r="AO13" s="22"/>
      <c r="AQ13" s="22"/>
      <c r="AR13" s="22"/>
      <c r="AS13" s="22"/>
      <c r="AT13" s="22"/>
      <c r="AU13" s="8"/>
      <c r="AV13" s="8"/>
      <c r="AW13" s="8"/>
      <c r="AX13" s="8"/>
      <c r="AY13" s="8"/>
      <c r="AZ13" s="8"/>
      <c r="BA13" s="8"/>
      <c r="BB13" s="8"/>
      <c r="BC13" s="8"/>
      <c r="BD13" s="8"/>
    </row>
    <row r="14" spans="1:56" x14ac:dyDescent="0.25">
      <c r="A14" s="43" t="s">
        <v>1888</v>
      </c>
      <c r="C14" s="7" t="s">
        <v>1889</v>
      </c>
      <c r="G14" s="32" t="s">
        <v>1890</v>
      </c>
      <c r="S14" s="22" t="s">
        <v>1891</v>
      </c>
      <c r="T14" s="22"/>
      <c r="U14" s="22" t="s">
        <v>1892</v>
      </c>
      <c r="V14" s="22"/>
      <c r="AA14" s="32" t="s">
        <v>1893</v>
      </c>
      <c r="AB14" s="32"/>
      <c r="AH14" s="7" t="s">
        <v>1894</v>
      </c>
      <c r="AJ14" s="22"/>
      <c r="AK14" s="34"/>
      <c r="AM14" s="22"/>
      <c r="AN14" s="22"/>
      <c r="AO14" s="22"/>
      <c r="AQ14" s="22"/>
      <c r="AR14" s="22"/>
      <c r="AS14" s="22"/>
      <c r="AT14" s="22"/>
      <c r="AU14" s="8"/>
      <c r="AV14" s="8"/>
      <c r="AW14" s="8"/>
      <c r="AX14" s="8"/>
      <c r="AY14" s="8"/>
      <c r="AZ14" s="8"/>
      <c r="BA14" s="8"/>
      <c r="BB14" s="8"/>
      <c r="BC14" s="8"/>
      <c r="BD14" s="8"/>
    </row>
    <row r="15" spans="1:56" x14ac:dyDescent="0.25">
      <c r="A15" s="43" t="s">
        <v>1895</v>
      </c>
      <c r="B15" s="39"/>
      <c r="C15" s="39"/>
      <c r="D15" s="39"/>
      <c r="E15" s="39"/>
      <c r="F15" s="39"/>
      <c r="G15" s="39"/>
      <c r="H15" s="39"/>
      <c r="I15" s="39"/>
      <c r="J15" s="39"/>
      <c r="K15" s="39"/>
      <c r="L15" s="39"/>
      <c r="M15" s="39"/>
      <c r="N15" s="39"/>
      <c r="O15" s="39"/>
      <c r="P15" s="39"/>
      <c r="Q15" s="39"/>
      <c r="R15" s="39"/>
      <c r="S15" s="39"/>
      <c r="T15" s="39"/>
      <c r="U15" s="22" t="s">
        <v>1896</v>
      </c>
      <c r="V15" s="22"/>
      <c r="W15" s="39"/>
      <c r="X15" s="39"/>
      <c r="Y15" s="39"/>
      <c r="Z15" s="39"/>
      <c r="AA15" s="32" t="s">
        <v>1897</v>
      </c>
      <c r="AB15" s="32"/>
      <c r="AC15" s="39"/>
      <c r="AD15" s="39"/>
      <c r="AE15" s="39"/>
      <c r="AF15" s="39"/>
      <c r="AG15" s="39"/>
      <c r="AH15" s="7" t="s">
        <v>1898</v>
      </c>
      <c r="AI15" s="39"/>
      <c r="AJ15" s="22"/>
      <c r="AK15" s="39"/>
      <c r="AL15" s="39"/>
      <c r="AM15" s="22"/>
      <c r="AN15" s="22"/>
      <c r="AO15" s="22"/>
      <c r="AQ15" s="22"/>
      <c r="AR15" s="22"/>
      <c r="AS15" s="22"/>
      <c r="AT15" s="22"/>
      <c r="AU15" s="8"/>
      <c r="AV15" s="8"/>
      <c r="AW15" s="8"/>
      <c r="AX15" s="8"/>
      <c r="AY15" s="8"/>
      <c r="AZ15" s="8"/>
      <c r="BA15" s="8"/>
      <c r="BB15" s="8"/>
      <c r="BC15" s="8"/>
      <c r="BD15" s="8"/>
    </row>
    <row r="16" spans="1:56" x14ac:dyDescent="0.25">
      <c r="A16" s="43" t="s">
        <v>1899</v>
      </c>
      <c r="U16" s="22" t="s">
        <v>1900</v>
      </c>
      <c r="V16" s="22"/>
      <c r="AA16" s="32" t="s">
        <v>1901</v>
      </c>
      <c r="AB16" s="32"/>
      <c r="AH16" s="7" t="s">
        <v>1902</v>
      </c>
      <c r="AM16" s="22"/>
      <c r="AN16" s="22"/>
      <c r="AO16" s="22"/>
      <c r="AQ16" s="22"/>
      <c r="AR16" s="22"/>
      <c r="AS16" s="22"/>
      <c r="AT16" s="22"/>
      <c r="AU16" s="8"/>
      <c r="AV16" s="8"/>
      <c r="AW16" s="8"/>
      <c r="AX16" s="8"/>
      <c r="AY16" s="8"/>
      <c r="AZ16" s="8"/>
      <c r="BA16" s="8"/>
      <c r="BB16" s="8"/>
      <c r="BC16" s="8"/>
      <c r="BD16" s="8"/>
    </row>
    <row r="17" spans="1:56" x14ac:dyDescent="0.25">
      <c r="A17" s="22" t="s">
        <v>1903</v>
      </c>
      <c r="U17" s="22" t="s">
        <v>1904</v>
      </c>
      <c r="V17" s="22"/>
      <c r="AA17" s="32" t="s">
        <v>1905</v>
      </c>
      <c r="AB17" s="32"/>
      <c r="AH17" s="22" t="s">
        <v>1750</v>
      </c>
      <c r="AM17" s="22"/>
      <c r="AN17" s="22"/>
      <c r="AO17" s="22"/>
      <c r="AQ17" s="22"/>
      <c r="AR17" s="22"/>
      <c r="AS17" s="22"/>
      <c r="AT17" s="22"/>
      <c r="AU17" s="8"/>
      <c r="AV17" s="8"/>
      <c r="AW17" s="8"/>
      <c r="AX17" s="8"/>
      <c r="AY17" s="8"/>
      <c r="AZ17" s="8"/>
      <c r="BA17" s="8"/>
      <c r="BB17" s="8"/>
      <c r="BC17" s="8"/>
      <c r="BD17" s="8"/>
    </row>
    <row r="18" spans="1:56" x14ac:dyDescent="0.25">
      <c r="A18" s="43" t="s">
        <v>1906</v>
      </c>
      <c r="U18" s="22" t="s">
        <v>1907</v>
      </c>
      <c r="V18" s="22"/>
      <c r="AA18" s="32" t="s">
        <v>1908</v>
      </c>
      <c r="AB18" s="32"/>
      <c r="AU18" s="8"/>
      <c r="AV18" s="8"/>
      <c r="AW18" s="8"/>
      <c r="AX18" s="8"/>
      <c r="AY18" s="8"/>
      <c r="AZ18" s="8"/>
      <c r="BA18" s="8"/>
      <c r="BB18" s="8"/>
      <c r="BC18" s="8"/>
      <c r="BD18" s="8"/>
    </row>
    <row r="19" spans="1:56" x14ac:dyDescent="0.25">
      <c r="A19" s="43" t="s">
        <v>1750</v>
      </c>
      <c r="U19" s="22" t="s">
        <v>1750</v>
      </c>
      <c r="V19" s="22"/>
      <c r="AA19" s="32" t="s">
        <v>1909</v>
      </c>
      <c r="AB19" s="32"/>
      <c r="AU19" s="8"/>
      <c r="AV19" s="8"/>
      <c r="AW19" s="8"/>
      <c r="AX19" s="8"/>
      <c r="AY19" s="8"/>
      <c r="AZ19" s="8"/>
      <c r="BA19" s="8"/>
      <c r="BB19" s="8"/>
      <c r="BC19" s="8"/>
      <c r="BD19" s="8"/>
    </row>
    <row r="20" spans="1:56" x14ac:dyDescent="0.25">
      <c r="A20" s="43" t="s">
        <v>1910</v>
      </c>
      <c r="AA20" s="32" t="s">
        <v>1911</v>
      </c>
      <c r="AB20" s="32"/>
      <c r="AU20" s="8"/>
      <c r="AV20" s="8"/>
      <c r="AW20" s="8"/>
      <c r="AX20" s="8"/>
      <c r="AY20" s="8"/>
      <c r="AZ20" s="8"/>
      <c r="BA20" s="8"/>
      <c r="BB20" s="8"/>
      <c r="BC20" s="8"/>
      <c r="BD20" s="8"/>
    </row>
    <row r="21" spans="1:56" x14ac:dyDescent="0.25">
      <c r="AA21" s="32" t="s">
        <v>1912</v>
      </c>
      <c r="AB21" s="32"/>
      <c r="AU21" s="8"/>
      <c r="AV21" s="8"/>
      <c r="AW21" s="8"/>
      <c r="AX21" s="8"/>
      <c r="AY21" s="8"/>
      <c r="AZ21" s="8"/>
      <c r="BA21" s="8"/>
      <c r="BB21" s="8"/>
      <c r="BC21" s="8"/>
      <c r="BD21" s="8"/>
    </row>
    <row r="22" spans="1:56" x14ac:dyDescent="0.25">
      <c r="AA22" s="32" t="s">
        <v>2358</v>
      </c>
      <c r="AB22" s="32"/>
      <c r="AU22" s="8"/>
      <c r="AV22" s="8"/>
      <c r="AW22" s="8"/>
      <c r="AX22" s="8"/>
      <c r="AY22" s="8"/>
      <c r="AZ22" s="8"/>
      <c r="BA22" s="8"/>
      <c r="BB22" s="8"/>
      <c r="BC22" s="8"/>
      <c r="BD22" s="8"/>
    </row>
    <row r="23" spans="1:56" x14ac:dyDescent="0.25">
      <c r="AA23" s="32" t="s">
        <v>1913</v>
      </c>
      <c r="AB23" s="32"/>
      <c r="AU23" s="8"/>
      <c r="AV23" s="8"/>
      <c r="AW23" s="8"/>
      <c r="AX23" s="8"/>
      <c r="AY23" s="8"/>
      <c r="AZ23" s="8"/>
      <c r="BA23" s="8"/>
      <c r="BB23" s="8"/>
      <c r="BC23" s="8"/>
      <c r="BD23" s="8"/>
    </row>
    <row r="24" spans="1:56" x14ac:dyDescent="0.25">
      <c r="AA24" s="32" t="s">
        <v>1914</v>
      </c>
      <c r="AB24" s="32"/>
      <c r="AU24" s="8"/>
      <c r="AV24" s="8"/>
      <c r="AW24" s="8"/>
      <c r="AX24" s="8"/>
      <c r="AY24" s="8"/>
      <c r="AZ24" s="8"/>
      <c r="BA24" s="8"/>
      <c r="BB24" s="8"/>
      <c r="BC24" s="8"/>
      <c r="BD24" s="8"/>
    </row>
    <row r="25" spans="1:56" x14ac:dyDescent="0.25">
      <c r="AA25" s="32" t="s">
        <v>1750</v>
      </c>
      <c r="AB25" s="32"/>
      <c r="AU25" s="8"/>
      <c r="AV25" s="8"/>
      <c r="AW25" s="8"/>
      <c r="AX25" s="8"/>
      <c r="AY25" s="8"/>
      <c r="AZ25" s="8"/>
      <c r="BA25" s="8"/>
      <c r="BB25" s="8"/>
      <c r="BC25" s="8"/>
      <c r="BD25" s="8"/>
    </row>
    <row r="26" spans="1:56" x14ac:dyDescent="0.25">
      <c r="AA26" s="32"/>
      <c r="AB26" s="32"/>
      <c r="AU26" s="8"/>
      <c r="AV26" s="8"/>
      <c r="AW26" s="8"/>
      <c r="AX26" s="8"/>
      <c r="AY26" s="8"/>
      <c r="AZ26" s="8"/>
      <c r="BA26" s="8"/>
      <c r="BB26" s="8"/>
      <c r="BC26" s="8"/>
      <c r="BD26" s="8"/>
    </row>
    <row r="27" spans="1:56" x14ac:dyDescent="0.25">
      <c r="AU27" s="8"/>
      <c r="AV27" s="8"/>
      <c r="AW27" s="8"/>
      <c r="AX27" s="8"/>
      <c r="AY27" s="8"/>
      <c r="AZ27" s="8"/>
      <c r="BA27" s="8"/>
      <c r="BB27" s="8"/>
      <c r="BC27" s="8"/>
      <c r="BD27" s="8"/>
    </row>
    <row r="28" spans="1:56" x14ac:dyDescent="0.25">
      <c r="AU28" s="8"/>
      <c r="AV28" s="8"/>
      <c r="AW28" s="8"/>
      <c r="AX28" s="8"/>
      <c r="AY28" s="8"/>
      <c r="AZ28" s="8"/>
      <c r="BA28" s="8"/>
      <c r="BB28" s="8"/>
      <c r="BC28" s="8"/>
      <c r="BD28" s="8"/>
    </row>
    <row r="29" spans="1:56" x14ac:dyDescent="0.25">
      <c r="AU29" s="8"/>
      <c r="AV29" s="8"/>
      <c r="AW29" s="8"/>
      <c r="AX29" s="8"/>
      <c r="AY29" s="8"/>
      <c r="AZ29" s="8"/>
      <c r="BA29" s="8"/>
      <c r="BB29" s="8"/>
      <c r="BC29" s="8"/>
      <c r="BD29" s="8"/>
    </row>
    <row r="30" spans="1:56" x14ac:dyDescent="0.25">
      <c r="AU30" s="8"/>
      <c r="AV30" s="8"/>
      <c r="AW30" s="8"/>
      <c r="AX30" s="8"/>
      <c r="AY30" s="8"/>
      <c r="AZ30" s="8"/>
      <c r="BA30" s="8"/>
      <c r="BB30" s="8"/>
      <c r="BC30" s="8"/>
      <c r="BD30" s="8"/>
    </row>
    <row r="31" spans="1:56" x14ac:dyDescent="0.25">
      <c r="AU31" s="8"/>
      <c r="AV31" s="8"/>
      <c r="AW31" s="8"/>
      <c r="AX31" s="8"/>
      <c r="AY31" s="8"/>
      <c r="AZ31" s="8"/>
      <c r="BA31" s="8"/>
      <c r="BB31" s="8"/>
      <c r="BC31" s="8"/>
      <c r="BD31" s="8"/>
    </row>
    <row r="32" spans="1:56" x14ac:dyDescent="0.25">
      <c r="AU32" s="8"/>
      <c r="AV32" s="8"/>
      <c r="AW32" s="8"/>
      <c r="AX32" s="8"/>
      <c r="AY32" s="8"/>
      <c r="AZ32" s="8"/>
      <c r="BA32" s="8"/>
      <c r="BB32" s="8"/>
      <c r="BC32" s="8"/>
      <c r="BD32" s="8"/>
    </row>
    <row r="33" spans="47:56" x14ac:dyDescent="0.25">
      <c r="AU33" s="8"/>
      <c r="AV33" s="8"/>
      <c r="AW33" s="8"/>
      <c r="AX33" s="8"/>
      <c r="AY33" s="8"/>
      <c r="AZ33" s="8"/>
      <c r="BA33" s="8"/>
      <c r="BB33" s="8"/>
      <c r="BC33" s="8"/>
      <c r="BD33" s="8"/>
    </row>
    <row r="34" spans="47:56" x14ac:dyDescent="0.25">
      <c r="AU34" s="8"/>
      <c r="AV34" s="8"/>
      <c r="AW34" s="8"/>
      <c r="AX34" s="8"/>
      <c r="AY34" s="8"/>
      <c r="AZ34" s="8"/>
      <c r="BA34" s="8"/>
      <c r="BB34" s="8"/>
      <c r="BC34" s="8"/>
      <c r="BD34" s="8"/>
    </row>
    <row r="35" spans="47:56" x14ac:dyDescent="0.25">
      <c r="AU35" s="8"/>
      <c r="AV35" s="8"/>
      <c r="AW35" s="8"/>
      <c r="AX35" s="8"/>
      <c r="AY35" s="8"/>
      <c r="AZ35" s="8"/>
      <c r="BA35" s="8"/>
      <c r="BB35" s="8"/>
      <c r="BC35" s="8"/>
      <c r="BD35" s="8"/>
    </row>
    <row r="36" spans="47:56" x14ac:dyDescent="0.25">
      <c r="AU36" s="8"/>
      <c r="AV36" s="8"/>
      <c r="AW36" s="8"/>
      <c r="AX36" s="8"/>
      <c r="AY36" s="8"/>
      <c r="AZ36" s="8"/>
      <c r="BA36" s="8"/>
      <c r="BB36" s="8"/>
      <c r="BC36" s="8"/>
      <c r="BD36" s="8"/>
    </row>
    <row r="37" spans="47:56" x14ac:dyDescent="0.25">
      <c r="AU37" s="8"/>
      <c r="AV37" s="8"/>
      <c r="AW37" s="8"/>
      <c r="AX37" s="8"/>
      <c r="AY37" s="8"/>
      <c r="AZ37" s="8"/>
      <c r="BA37" s="8"/>
      <c r="BB37" s="8"/>
      <c r="BC37" s="8"/>
      <c r="BD37" s="8"/>
    </row>
    <row r="38" spans="47:56" x14ac:dyDescent="0.25">
      <c r="AU38" s="8"/>
      <c r="AV38" s="8"/>
      <c r="AW38" s="8"/>
      <c r="AX38" s="8"/>
      <c r="AY38" s="8"/>
      <c r="AZ38" s="8"/>
      <c r="BA38" s="8"/>
      <c r="BB38" s="8"/>
      <c r="BC38" s="8"/>
      <c r="BD38" s="8"/>
    </row>
  </sheetData>
  <hyperlinks>
    <hyperlink ref="AN1" r:id="rId1" display="LN@"/>
  </hyperlinks>
  <pageMargins left="0.7" right="0.7" top="0.75" bottom="0.75" header="0.3" footer="0.3"/>
  <pageSetup orientation="portrait" verticalDpi="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B13" sqref="B13"/>
    </sheetView>
  </sheetViews>
  <sheetFormatPr defaultColWidth="8.85546875" defaultRowHeight="12.75" x14ac:dyDescent="0.25"/>
  <cols>
    <col min="1" max="1" width="14.85546875" style="1" customWidth="1"/>
    <col min="2" max="2" width="47.85546875" style="1" customWidth="1"/>
    <col min="3" max="16384" width="8.85546875" style="1"/>
  </cols>
  <sheetData>
    <row r="1" spans="1:2" x14ac:dyDescent="0.25">
      <c r="A1" s="12" t="s">
        <v>1915</v>
      </c>
      <c r="B1" s="11" t="s">
        <v>1916</v>
      </c>
    </row>
    <row r="2" spans="1:2" x14ac:dyDescent="0.25">
      <c r="A2" s="28">
        <v>1</v>
      </c>
      <c r="B2" s="25" t="s">
        <v>2130</v>
      </c>
    </row>
    <row r="3" spans="1:2" x14ac:dyDescent="0.25">
      <c r="A3" s="28">
        <v>2</v>
      </c>
      <c r="B3" s="25" t="s">
        <v>2131</v>
      </c>
    </row>
    <row r="4" spans="1:2" ht="24" x14ac:dyDescent="0.25">
      <c r="A4" s="28">
        <v>3</v>
      </c>
      <c r="B4" s="25" t="s">
        <v>2132</v>
      </c>
    </row>
    <row r="5" spans="1:2" x14ac:dyDescent="0.25">
      <c r="A5" s="28">
        <v>4</v>
      </c>
      <c r="B5" s="25" t="s">
        <v>2133</v>
      </c>
    </row>
    <row r="6" spans="1:2" ht="24" x14ac:dyDescent="0.25">
      <c r="A6" s="28">
        <v>5</v>
      </c>
      <c r="B6" s="25" t="s">
        <v>2134</v>
      </c>
    </row>
    <row r="7" spans="1:2" x14ac:dyDescent="0.25">
      <c r="A7" s="28">
        <v>6</v>
      </c>
      <c r="B7" s="25" t="s">
        <v>2135</v>
      </c>
    </row>
    <row r="8" spans="1:2" x14ac:dyDescent="0.25">
      <c r="A8" s="28">
        <v>7</v>
      </c>
      <c r="B8" s="25" t="s">
        <v>2136</v>
      </c>
    </row>
    <row r="9" spans="1:2" x14ac:dyDescent="0.25">
      <c r="A9" s="28">
        <v>8</v>
      </c>
      <c r="B9" s="25" t="s">
        <v>2137</v>
      </c>
    </row>
    <row r="10" spans="1:2" x14ac:dyDescent="0.25">
      <c r="A10" s="28">
        <v>9</v>
      </c>
      <c r="B10" s="25" t="s">
        <v>2138</v>
      </c>
    </row>
    <row r="11" spans="1:2" ht="24" x14ac:dyDescent="0.25">
      <c r="A11" s="28">
        <v>10</v>
      </c>
      <c r="B11" s="25" t="s">
        <v>2396</v>
      </c>
    </row>
    <row r="12" spans="1:2" x14ac:dyDescent="0.25">
      <c r="A12" s="28">
        <v>11</v>
      </c>
      <c r="B12" s="25" t="s">
        <v>2179</v>
      </c>
    </row>
    <row r="13" spans="1:2" ht="24" x14ac:dyDescent="0.25">
      <c r="A13" s="28">
        <v>12</v>
      </c>
      <c r="B13" s="25" t="s">
        <v>2139</v>
      </c>
    </row>
    <row r="14" spans="1:2" x14ac:dyDescent="0.25">
      <c r="A14" s="28">
        <v>13</v>
      </c>
      <c r="B14" s="25" t="s">
        <v>2140</v>
      </c>
    </row>
    <row r="15" spans="1:2" x14ac:dyDescent="0.25">
      <c r="A15" s="28">
        <v>14</v>
      </c>
      <c r="B15" s="25" t="s">
        <v>2141</v>
      </c>
    </row>
    <row r="16" spans="1:2" x14ac:dyDescent="0.25">
      <c r="A16" s="28">
        <v>15</v>
      </c>
      <c r="B16" s="25" t="s">
        <v>2142</v>
      </c>
    </row>
    <row r="17" spans="1:2" ht="24" x14ac:dyDescent="0.25">
      <c r="A17" s="28">
        <v>16</v>
      </c>
      <c r="B17" s="25" t="s">
        <v>2143</v>
      </c>
    </row>
    <row r="18" spans="1:2" ht="24" x14ac:dyDescent="0.25">
      <c r="A18" s="28">
        <v>17</v>
      </c>
      <c r="B18" s="25" t="s">
        <v>2144</v>
      </c>
    </row>
    <row r="19" spans="1:2" x14ac:dyDescent="0.25">
      <c r="A19" s="28">
        <v>18</v>
      </c>
      <c r="B19" s="25" t="s">
        <v>2145</v>
      </c>
    </row>
    <row r="20" spans="1:2" ht="24" x14ac:dyDescent="0.25">
      <c r="A20" s="28">
        <v>19</v>
      </c>
      <c r="B20" s="25" t="s">
        <v>2146</v>
      </c>
    </row>
    <row r="21" spans="1:2" x14ac:dyDescent="0.25">
      <c r="A21" s="28">
        <v>20</v>
      </c>
      <c r="B21" s="25" t="s">
        <v>2147</v>
      </c>
    </row>
    <row r="22" spans="1:2" x14ac:dyDescent="0.25">
      <c r="A22" s="28">
        <v>21</v>
      </c>
      <c r="B22" s="25" t="s">
        <v>2148</v>
      </c>
    </row>
    <row r="23" spans="1:2" ht="24" x14ac:dyDescent="0.25">
      <c r="A23" s="28">
        <v>22</v>
      </c>
      <c r="B23" s="25" t="s">
        <v>2149</v>
      </c>
    </row>
    <row r="24" spans="1:2" x14ac:dyDescent="0.25">
      <c r="A24" s="28">
        <v>23</v>
      </c>
      <c r="B24" s="25" t="s">
        <v>2150</v>
      </c>
    </row>
    <row r="25" spans="1:2" x14ac:dyDescent="0.25">
      <c r="A25" s="28">
        <v>24</v>
      </c>
      <c r="B25" s="25" t="s">
        <v>2151</v>
      </c>
    </row>
    <row r="26" spans="1:2" x14ac:dyDescent="0.25">
      <c r="A26" s="28">
        <v>96</v>
      </c>
      <c r="B26" s="25" t="s">
        <v>2083</v>
      </c>
    </row>
    <row r="27" spans="1:2" x14ac:dyDescent="0.25">
      <c r="A27" s="28">
        <v>99</v>
      </c>
      <c r="B27" s="25" t="s">
        <v>1783</v>
      </c>
    </row>
    <row r="28" spans="1:2" x14ac:dyDescent="0.25">
      <c r="A28" s="33"/>
      <c r="B28" s="33"/>
    </row>
  </sheetData>
  <pageMargins left="0.7" right="0.7" top="0.75" bottom="0.75" header="0.3" footer="0.3"/>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topLeftCell="A6" workbookViewId="0">
      <selection activeCell="B22" sqref="B22"/>
    </sheetView>
  </sheetViews>
  <sheetFormatPr defaultRowHeight="15" x14ac:dyDescent="0.25"/>
  <cols>
    <col min="1" max="1" width="14" style="27" customWidth="1"/>
    <col min="2" max="2" width="127.42578125" style="27" customWidth="1"/>
    <col min="3" max="16384" width="9.140625" style="27"/>
  </cols>
  <sheetData>
    <row r="1" spans="1:2" x14ac:dyDescent="0.25">
      <c r="A1" s="12" t="s">
        <v>1915</v>
      </c>
      <c r="B1" s="11" t="s">
        <v>1916</v>
      </c>
    </row>
    <row r="2" spans="1:2" x14ac:dyDescent="0.25">
      <c r="A2" s="32">
        <v>1</v>
      </c>
      <c r="B2" s="32" t="s">
        <v>2152</v>
      </c>
    </row>
    <row r="3" spans="1:2" x14ac:dyDescent="0.25">
      <c r="A3" s="32">
        <v>2</v>
      </c>
      <c r="B3" s="32" t="s">
        <v>2153</v>
      </c>
    </row>
    <row r="4" spans="1:2" x14ac:dyDescent="0.25">
      <c r="A4" s="32">
        <v>3</v>
      </c>
      <c r="B4" s="32" t="s">
        <v>1693</v>
      </c>
    </row>
    <row r="5" spans="1:2" x14ac:dyDescent="0.25">
      <c r="A5" s="32">
        <v>4</v>
      </c>
      <c r="B5" s="32" t="s">
        <v>1731</v>
      </c>
    </row>
    <row r="6" spans="1:2" x14ac:dyDescent="0.25">
      <c r="A6" s="32">
        <v>5</v>
      </c>
      <c r="B6" s="32" t="s">
        <v>1766</v>
      </c>
    </row>
    <row r="7" spans="1:2" x14ac:dyDescent="0.25">
      <c r="A7" s="32">
        <v>6</v>
      </c>
      <c r="B7" s="32" t="s">
        <v>2154</v>
      </c>
    </row>
    <row r="8" spans="1:2" x14ac:dyDescent="0.25">
      <c r="A8" s="32">
        <v>7</v>
      </c>
      <c r="B8" s="32" t="s">
        <v>2155</v>
      </c>
    </row>
    <row r="9" spans="1:2" x14ac:dyDescent="0.25">
      <c r="A9" s="32">
        <v>8</v>
      </c>
      <c r="B9" s="32" t="s">
        <v>1841</v>
      </c>
    </row>
    <row r="10" spans="1:2" x14ac:dyDescent="0.25">
      <c r="A10" s="32">
        <v>9</v>
      </c>
      <c r="B10" s="32" t="s">
        <v>1858</v>
      </c>
    </row>
    <row r="11" spans="1:2" x14ac:dyDescent="0.25">
      <c r="A11" s="32">
        <v>10</v>
      </c>
      <c r="B11" s="32" t="s">
        <v>1870</v>
      </c>
    </row>
    <row r="12" spans="1:2" x14ac:dyDescent="0.25">
      <c r="A12" s="32">
        <v>11</v>
      </c>
      <c r="B12" s="32" t="s">
        <v>2156</v>
      </c>
    </row>
    <row r="13" spans="1:2" x14ac:dyDescent="0.25">
      <c r="A13" s="32">
        <v>12</v>
      </c>
      <c r="B13" s="32" t="s">
        <v>1886</v>
      </c>
    </row>
    <row r="14" spans="1:2" x14ac:dyDescent="0.25">
      <c r="A14" s="32">
        <v>13</v>
      </c>
      <c r="B14" s="32" t="s">
        <v>1893</v>
      </c>
    </row>
    <row r="15" spans="1:2" x14ac:dyDescent="0.25">
      <c r="A15" s="32">
        <v>14</v>
      </c>
      <c r="B15" s="32" t="s">
        <v>1897</v>
      </c>
    </row>
    <row r="16" spans="1:2" x14ac:dyDescent="0.25">
      <c r="A16" s="32">
        <v>15</v>
      </c>
      <c r="B16" s="32" t="s">
        <v>2157</v>
      </c>
    </row>
    <row r="17" spans="1:2" x14ac:dyDescent="0.25">
      <c r="A17" s="32">
        <v>16</v>
      </c>
      <c r="B17" s="32" t="s">
        <v>1905</v>
      </c>
    </row>
    <row r="18" spans="1:2" x14ac:dyDescent="0.25">
      <c r="A18" s="32">
        <v>17</v>
      </c>
      <c r="B18" s="32" t="s">
        <v>1908</v>
      </c>
    </row>
    <row r="19" spans="1:2" x14ac:dyDescent="0.25">
      <c r="A19" s="32">
        <v>18</v>
      </c>
      <c r="B19" s="32" t="s">
        <v>1909</v>
      </c>
    </row>
    <row r="20" spans="1:2" x14ac:dyDescent="0.25">
      <c r="A20" s="32">
        <v>19</v>
      </c>
      <c r="B20" s="32" t="s">
        <v>1911</v>
      </c>
    </row>
    <row r="21" spans="1:2" x14ac:dyDescent="0.25">
      <c r="A21" s="32">
        <v>20</v>
      </c>
      <c r="B21" s="32" t="s">
        <v>2158</v>
      </c>
    </row>
    <row r="22" spans="1:2" x14ac:dyDescent="0.25">
      <c r="A22" s="32">
        <v>21</v>
      </c>
      <c r="B22" s="32" t="s">
        <v>2404</v>
      </c>
    </row>
    <row r="23" spans="1:2" x14ac:dyDescent="0.25">
      <c r="A23" s="32">
        <v>22</v>
      </c>
      <c r="B23" s="32" t="s">
        <v>1913</v>
      </c>
    </row>
    <row r="24" spans="1:2" x14ac:dyDescent="0.25">
      <c r="A24" s="32">
        <v>23</v>
      </c>
      <c r="B24" s="32" t="s">
        <v>1914</v>
      </c>
    </row>
    <row r="25" spans="1:2" x14ac:dyDescent="0.25">
      <c r="A25" s="32">
        <v>96</v>
      </c>
      <c r="B25" s="32" t="s">
        <v>2159</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18" sqref="B18"/>
    </sheetView>
  </sheetViews>
  <sheetFormatPr defaultRowHeight="15" x14ac:dyDescent="0.25"/>
  <cols>
    <col min="1" max="1" width="9.140625" style="8"/>
    <col min="2" max="2" width="71" style="8" customWidth="1"/>
    <col min="3" max="16384" width="9.140625" style="8"/>
  </cols>
  <sheetData>
    <row r="1" spans="1:2" x14ac:dyDescent="0.25">
      <c r="A1" s="12" t="s">
        <v>1915</v>
      </c>
      <c r="B1" s="11" t="s">
        <v>1916</v>
      </c>
    </row>
    <row r="2" spans="1:2" x14ac:dyDescent="0.25">
      <c r="A2" s="28">
        <v>1</v>
      </c>
      <c r="B2" s="25" t="s">
        <v>2160</v>
      </c>
    </row>
    <row r="3" spans="1:2" x14ac:dyDescent="0.25">
      <c r="A3" s="28">
        <v>2</v>
      </c>
      <c r="B3" s="25" t="s">
        <v>2161</v>
      </c>
    </row>
    <row r="4" spans="1:2" x14ac:dyDescent="0.25">
      <c r="A4" s="28">
        <v>3</v>
      </c>
      <c r="B4" s="25" t="s">
        <v>2162</v>
      </c>
    </row>
    <row r="5" spans="1:2" x14ac:dyDescent="0.25">
      <c r="A5" s="28">
        <v>4</v>
      </c>
      <c r="B5" s="25" t="s">
        <v>2163</v>
      </c>
    </row>
    <row r="6" spans="1:2" x14ac:dyDescent="0.25">
      <c r="A6" s="28">
        <v>5</v>
      </c>
      <c r="B6" s="25" t="s">
        <v>2135</v>
      </c>
    </row>
    <row r="7" spans="1:2" x14ac:dyDescent="0.25">
      <c r="A7" s="28">
        <v>6</v>
      </c>
      <c r="B7" s="25" t="s">
        <v>2136</v>
      </c>
    </row>
    <row r="8" spans="1:2" x14ac:dyDescent="0.25">
      <c r="A8" s="28">
        <v>7</v>
      </c>
      <c r="B8" s="25" t="s">
        <v>2137</v>
      </c>
    </row>
    <row r="9" spans="1:2" x14ac:dyDescent="0.25">
      <c r="A9" s="28">
        <v>8</v>
      </c>
      <c r="B9" s="25" t="s">
        <v>2164</v>
      </c>
    </row>
    <row r="10" spans="1:2" x14ac:dyDescent="0.25">
      <c r="A10" s="28">
        <v>9</v>
      </c>
      <c r="B10" s="25" t="s">
        <v>2165</v>
      </c>
    </row>
    <row r="11" spans="1:2" ht="24" x14ac:dyDescent="0.25">
      <c r="A11" s="28">
        <v>10</v>
      </c>
      <c r="B11" s="25" t="s">
        <v>2166</v>
      </c>
    </row>
    <row r="12" spans="1:2" x14ac:dyDescent="0.25">
      <c r="A12" s="28">
        <v>11</v>
      </c>
      <c r="B12" s="25" t="s">
        <v>2167</v>
      </c>
    </row>
    <row r="13" spans="1:2" x14ac:dyDescent="0.25">
      <c r="A13" s="28">
        <v>12</v>
      </c>
      <c r="B13" s="25" t="s">
        <v>2168</v>
      </c>
    </row>
    <row r="14" spans="1:2" x14ac:dyDescent="0.25">
      <c r="A14" s="28">
        <v>13</v>
      </c>
      <c r="B14" s="25" t="s">
        <v>2169</v>
      </c>
    </row>
    <row r="15" spans="1:2" ht="24" x14ac:dyDescent="0.25">
      <c r="A15" s="28">
        <v>14</v>
      </c>
      <c r="B15" s="25" t="s">
        <v>2170</v>
      </c>
    </row>
    <row r="16" spans="1:2" x14ac:dyDescent="0.25">
      <c r="A16" s="28">
        <v>15</v>
      </c>
      <c r="B16" s="25" t="s">
        <v>2171</v>
      </c>
    </row>
    <row r="17" spans="1:2" x14ac:dyDescent="0.25">
      <c r="A17" s="28">
        <v>16</v>
      </c>
      <c r="B17" s="25" t="s">
        <v>2401</v>
      </c>
    </row>
    <row r="18" spans="1:2" ht="24" x14ac:dyDescent="0.25">
      <c r="A18" s="28">
        <v>17</v>
      </c>
      <c r="B18" s="25" t="s">
        <v>2172</v>
      </c>
    </row>
    <row r="19" spans="1:2" x14ac:dyDescent="0.25">
      <c r="A19" s="28">
        <v>96</v>
      </c>
      <c r="B19" s="25" t="s">
        <v>1750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RowHeight="15" x14ac:dyDescent="0.25"/>
  <cols>
    <col min="1" max="1" width="9.140625" style="34"/>
    <col min="2" max="2" width="93.5703125" style="34" customWidth="1"/>
    <col min="3" max="16384" width="9.140625" style="34"/>
  </cols>
  <sheetData>
    <row r="1" spans="1:2" x14ac:dyDescent="0.25">
      <c r="A1" s="35" t="s">
        <v>1915</v>
      </c>
      <c r="B1" s="26" t="s">
        <v>1916</v>
      </c>
    </row>
    <row r="2" spans="1:2" x14ac:dyDescent="0.25">
      <c r="A2" s="36">
        <v>1</v>
      </c>
      <c r="B2" s="22" t="s">
        <v>2173</v>
      </c>
    </row>
    <row r="3" spans="1:2" x14ac:dyDescent="0.25">
      <c r="A3" s="36">
        <v>2</v>
      </c>
      <c r="B3" s="22" t="s">
        <v>2174</v>
      </c>
    </row>
    <row r="4" spans="1:2" x14ac:dyDescent="0.25">
      <c r="A4" s="36">
        <v>3</v>
      </c>
      <c r="B4" s="22" t="s">
        <v>2175</v>
      </c>
    </row>
    <row r="5" spans="1:2" x14ac:dyDescent="0.25">
      <c r="A5" s="36">
        <v>4</v>
      </c>
      <c r="B5" s="22" t="s">
        <v>2176</v>
      </c>
    </row>
    <row r="6" spans="1:2" x14ac:dyDescent="0.25">
      <c r="A6" s="36">
        <v>5</v>
      </c>
      <c r="B6" s="22" t="s">
        <v>2177</v>
      </c>
    </row>
    <row r="7" spans="1:2" x14ac:dyDescent="0.25">
      <c r="A7" s="36">
        <v>6</v>
      </c>
      <c r="B7" s="22" t="s">
        <v>2178</v>
      </c>
    </row>
    <row r="8" spans="1:2" x14ac:dyDescent="0.25">
      <c r="A8" s="36">
        <v>7</v>
      </c>
      <c r="B8" s="22" t="s">
        <v>2179</v>
      </c>
    </row>
    <row r="9" spans="1:2" x14ac:dyDescent="0.25">
      <c r="A9" s="36">
        <v>8</v>
      </c>
      <c r="B9" s="22" t="s">
        <v>2180</v>
      </c>
    </row>
    <row r="10" spans="1:2" x14ac:dyDescent="0.25">
      <c r="A10" s="36">
        <v>9</v>
      </c>
      <c r="B10" s="22" t="s">
        <v>2181</v>
      </c>
    </row>
    <row r="11" spans="1:2" x14ac:dyDescent="0.25">
      <c r="A11" s="36">
        <v>10</v>
      </c>
      <c r="B11" s="22" t="s">
        <v>2182</v>
      </c>
    </row>
    <row r="12" spans="1:2" x14ac:dyDescent="0.25">
      <c r="A12" s="36">
        <v>11</v>
      </c>
      <c r="B12" s="22" t="s">
        <v>2183</v>
      </c>
    </row>
    <row r="13" spans="1:2" x14ac:dyDescent="0.25">
      <c r="A13" s="36">
        <v>12</v>
      </c>
      <c r="B13" s="22" t="s">
        <v>2184</v>
      </c>
    </row>
    <row r="14" spans="1:2" x14ac:dyDescent="0.25">
      <c r="A14" s="36">
        <v>13</v>
      </c>
      <c r="B14" s="22" t="s">
        <v>2185</v>
      </c>
    </row>
    <row r="15" spans="1:2" x14ac:dyDescent="0.25">
      <c r="A15" s="36">
        <v>14</v>
      </c>
      <c r="B15" s="22" t="s">
        <v>2186</v>
      </c>
    </row>
    <row r="16" spans="1:2" x14ac:dyDescent="0.25">
      <c r="A16" s="36">
        <v>15</v>
      </c>
      <c r="B16" s="22" t="s">
        <v>2187</v>
      </c>
    </row>
    <row r="17" spans="1:2" x14ac:dyDescent="0.25">
      <c r="A17" s="36">
        <v>96</v>
      </c>
      <c r="B17" s="22" t="s">
        <v>1750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4" sqref="B14"/>
    </sheetView>
  </sheetViews>
  <sheetFormatPr defaultRowHeight="15" x14ac:dyDescent="0.25"/>
  <cols>
    <col min="1" max="1" width="9.140625" style="27"/>
    <col min="2" max="2" width="94" style="27" customWidth="1"/>
    <col min="3" max="16384" width="9.140625" style="27"/>
  </cols>
  <sheetData>
    <row r="1" spans="1:2" x14ac:dyDescent="0.25">
      <c r="A1" s="35" t="s">
        <v>1915</v>
      </c>
      <c r="B1" s="26" t="s">
        <v>1916</v>
      </c>
    </row>
    <row r="2" spans="1:2" x14ac:dyDescent="0.25">
      <c r="A2" s="28">
        <v>1</v>
      </c>
      <c r="B2" s="25" t="s">
        <v>2188</v>
      </c>
    </row>
    <row r="3" spans="1:2" x14ac:dyDescent="0.25">
      <c r="A3" s="28">
        <v>2</v>
      </c>
      <c r="B3" s="25" t="s">
        <v>2189</v>
      </c>
    </row>
    <row r="4" spans="1:2" x14ac:dyDescent="0.25">
      <c r="A4" s="28">
        <v>3</v>
      </c>
      <c r="B4" s="25" t="s">
        <v>2190</v>
      </c>
    </row>
    <row r="5" spans="1:2" x14ac:dyDescent="0.25">
      <c r="A5" s="28">
        <v>4</v>
      </c>
      <c r="B5" s="25" t="s">
        <v>2191</v>
      </c>
    </row>
    <row r="6" spans="1:2" ht="24" x14ac:dyDescent="0.25">
      <c r="A6" s="28">
        <v>5</v>
      </c>
      <c r="B6" s="25" t="s">
        <v>2192</v>
      </c>
    </row>
    <row r="7" spans="1:2" x14ac:dyDescent="0.25">
      <c r="A7" s="28">
        <v>6</v>
      </c>
      <c r="B7" s="25" t="s">
        <v>2117</v>
      </c>
    </row>
    <row r="8" spans="1:2" x14ac:dyDescent="0.25">
      <c r="A8" s="28">
        <v>7</v>
      </c>
      <c r="B8" s="25" t="s">
        <v>2122</v>
      </c>
    </row>
    <row r="9" spans="1:2" x14ac:dyDescent="0.25">
      <c r="A9" s="28">
        <v>8</v>
      </c>
      <c r="B9" s="25" t="s">
        <v>2123</v>
      </c>
    </row>
    <row r="10" spans="1:2" ht="24" x14ac:dyDescent="0.25">
      <c r="A10" s="28">
        <v>9</v>
      </c>
      <c r="B10" s="25" t="s">
        <v>2193</v>
      </c>
    </row>
    <row r="11" spans="1:2" x14ac:dyDescent="0.25">
      <c r="A11" s="28">
        <v>10</v>
      </c>
      <c r="B11" s="25" t="s">
        <v>2194</v>
      </c>
    </row>
    <row r="12" spans="1:2" x14ac:dyDescent="0.25">
      <c r="A12" s="28">
        <v>11</v>
      </c>
      <c r="B12" s="25" t="s">
        <v>2195</v>
      </c>
    </row>
    <row r="13" spans="1:2" x14ac:dyDescent="0.25">
      <c r="A13" s="28">
        <v>12</v>
      </c>
      <c r="B13" s="25" t="s">
        <v>2126</v>
      </c>
    </row>
    <row r="14" spans="1:2" x14ac:dyDescent="0.25">
      <c r="A14" s="28">
        <v>13</v>
      </c>
      <c r="B14" s="25" t="s">
        <v>2196</v>
      </c>
    </row>
    <row r="15" spans="1:2" x14ac:dyDescent="0.25">
      <c r="A15" s="28">
        <v>96</v>
      </c>
      <c r="B15" s="25" t="s">
        <v>1750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A26" sqref="A26"/>
    </sheetView>
  </sheetViews>
  <sheetFormatPr defaultRowHeight="15" x14ac:dyDescent="0.25"/>
  <cols>
    <col min="1" max="1" width="8.140625" style="34" customWidth="1"/>
    <col min="2" max="2" width="57.85546875" style="7" customWidth="1"/>
    <col min="3" max="16384" width="9.140625" style="7"/>
  </cols>
  <sheetData>
    <row r="1" spans="1:2" x14ac:dyDescent="0.25">
      <c r="A1" s="35" t="s">
        <v>1915</v>
      </c>
      <c r="B1" s="26" t="s">
        <v>1916</v>
      </c>
    </row>
    <row r="2" spans="1:2" x14ac:dyDescent="0.25">
      <c r="A2" s="32">
        <v>1</v>
      </c>
      <c r="B2" s="32" t="s">
        <v>1619</v>
      </c>
    </row>
    <row r="3" spans="1:2" x14ac:dyDescent="0.25">
      <c r="A3" s="32">
        <v>2</v>
      </c>
      <c r="B3" s="32" t="s">
        <v>1657</v>
      </c>
    </row>
    <row r="4" spans="1:2" x14ac:dyDescent="0.25">
      <c r="A4" s="32">
        <v>3</v>
      </c>
      <c r="B4" s="32" t="s">
        <v>1693</v>
      </c>
    </row>
    <row r="5" spans="1:2" x14ac:dyDescent="0.25">
      <c r="A5" s="32">
        <v>4</v>
      </c>
      <c r="B5" s="32" t="s">
        <v>1731</v>
      </c>
    </row>
    <row r="6" spans="1:2" x14ac:dyDescent="0.25">
      <c r="A6" s="32">
        <v>5</v>
      </c>
      <c r="B6" s="32" t="s">
        <v>1766</v>
      </c>
    </row>
    <row r="7" spans="1:2" x14ac:dyDescent="0.25">
      <c r="A7" s="32">
        <v>6</v>
      </c>
      <c r="B7" s="32" t="s">
        <v>2197</v>
      </c>
    </row>
    <row r="8" spans="1:2" x14ac:dyDescent="0.25">
      <c r="A8" s="32">
        <v>7</v>
      </c>
      <c r="B8" s="32" t="s">
        <v>1821</v>
      </c>
    </row>
    <row r="9" spans="1:2" x14ac:dyDescent="0.25">
      <c r="A9" s="32">
        <v>8</v>
      </c>
      <c r="B9" s="32" t="s">
        <v>1841</v>
      </c>
    </row>
    <row r="10" spans="1:2" x14ac:dyDescent="0.25">
      <c r="A10" s="32">
        <v>9</v>
      </c>
      <c r="B10" s="46" t="s">
        <v>1858</v>
      </c>
    </row>
    <row r="11" spans="1:2" x14ac:dyDescent="0.25">
      <c r="A11" s="32">
        <v>10</v>
      </c>
      <c r="B11" s="46" t="s">
        <v>1870</v>
      </c>
    </row>
    <row r="12" spans="1:2" x14ac:dyDescent="0.25">
      <c r="A12" s="32">
        <v>11</v>
      </c>
      <c r="B12" s="46" t="s">
        <v>2156</v>
      </c>
    </row>
    <row r="13" spans="1:2" x14ac:dyDescent="0.25">
      <c r="A13" s="32">
        <v>12</v>
      </c>
      <c r="B13" s="46" t="s">
        <v>1886</v>
      </c>
    </row>
    <row r="14" spans="1:2" x14ac:dyDescent="0.25">
      <c r="A14" s="32">
        <v>13</v>
      </c>
      <c r="B14" s="46" t="s">
        <v>1893</v>
      </c>
    </row>
    <row r="15" spans="1:2" x14ac:dyDescent="0.25">
      <c r="A15" s="32">
        <v>14</v>
      </c>
      <c r="B15" s="32" t="s">
        <v>1897</v>
      </c>
    </row>
    <row r="16" spans="1:2" x14ac:dyDescent="0.25">
      <c r="A16" s="32">
        <v>15</v>
      </c>
      <c r="B16" s="32" t="s">
        <v>1901</v>
      </c>
    </row>
    <row r="17" spans="1:2" x14ac:dyDescent="0.25">
      <c r="A17" s="32">
        <v>16</v>
      </c>
      <c r="B17" s="32" t="s">
        <v>1905</v>
      </c>
    </row>
    <row r="18" spans="1:2" x14ac:dyDescent="0.25">
      <c r="A18" s="32">
        <v>17</v>
      </c>
      <c r="B18" s="32" t="s">
        <v>1908</v>
      </c>
    </row>
    <row r="19" spans="1:2" x14ac:dyDescent="0.25">
      <c r="A19" s="32">
        <v>18</v>
      </c>
      <c r="B19" s="32" t="s">
        <v>1909</v>
      </c>
    </row>
    <row r="20" spans="1:2" x14ac:dyDescent="0.25">
      <c r="A20" s="32">
        <v>19</v>
      </c>
      <c r="B20" s="32" t="s">
        <v>1911</v>
      </c>
    </row>
    <row r="21" spans="1:2" x14ac:dyDescent="0.25">
      <c r="A21" s="32">
        <v>20</v>
      </c>
      <c r="B21" s="32" t="s">
        <v>1912</v>
      </c>
    </row>
    <row r="22" spans="1:2" x14ac:dyDescent="0.25">
      <c r="A22" s="32">
        <v>21</v>
      </c>
      <c r="B22" s="46" t="s">
        <v>2198</v>
      </c>
    </row>
    <row r="23" spans="1:2" x14ac:dyDescent="0.25">
      <c r="A23" s="32">
        <v>22</v>
      </c>
      <c r="B23" s="46" t="s">
        <v>1913</v>
      </c>
    </row>
    <row r="24" spans="1:2" x14ac:dyDescent="0.25">
      <c r="A24" s="32">
        <v>23</v>
      </c>
      <c r="B24" s="46" t="s">
        <v>1914</v>
      </c>
    </row>
    <row r="25" spans="1:2" x14ac:dyDescent="0.25">
      <c r="A25" s="32">
        <v>96</v>
      </c>
      <c r="B25" s="32" t="s">
        <v>1750</v>
      </c>
    </row>
    <row r="26" spans="1:2" x14ac:dyDescent="0.25">
      <c r="B26" s="32"/>
    </row>
    <row r="27" spans="1:2" x14ac:dyDescent="0.25">
      <c r="B27" s="32"/>
    </row>
    <row r="28" spans="1:2" x14ac:dyDescent="0.25">
      <c r="B28" s="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1" max="1" width="9.140625" style="8"/>
    <col min="2" max="2" width="30" style="8" customWidth="1"/>
    <col min="3" max="16384" width="9.140625" style="8"/>
  </cols>
  <sheetData>
    <row r="1" spans="1:2" x14ac:dyDescent="0.25">
      <c r="A1" s="35" t="s">
        <v>1915</v>
      </c>
      <c r="B1" s="26" t="s">
        <v>1916</v>
      </c>
    </row>
    <row r="2" spans="1:2" x14ac:dyDescent="0.25">
      <c r="A2" s="28">
        <v>1</v>
      </c>
      <c r="B2" s="22" t="s">
        <v>2199</v>
      </c>
    </row>
    <row r="3" spans="1:2" x14ac:dyDescent="0.25">
      <c r="A3" s="28">
        <v>2</v>
      </c>
      <c r="B3" s="22" t="s">
        <v>2200</v>
      </c>
    </row>
    <row r="4" spans="1:2" x14ac:dyDescent="0.25">
      <c r="A4" s="28">
        <v>3</v>
      </c>
      <c r="B4" s="22" t="s">
        <v>2201</v>
      </c>
    </row>
    <row r="5" spans="1:2" x14ac:dyDescent="0.25">
      <c r="A5" s="28">
        <v>4</v>
      </c>
      <c r="B5" s="22" t="s">
        <v>2202</v>
      </c>
    </row>
    <row r="6" spans="1:2" x14ac:dyDescent="0.25">
      <c r="A6" s="28">
        <v>5</v>
      </c>
      <c r="B6" s="22" t="s">
        <v>2203</v>
      </c>
    </row>
    <row r="7" spans="1:2" x14ac:dyDescent="0.25">
      <c r="A7" s="28">
        <v>6</v>
      </c>
      <c r="B7" s="22" t="s">
        <v>2204</v>
      </c>
    </row>
    <row r="8" spans="1:2" x14ac:dyDescent="0.25">
      <c r="A8" s="28">
        <v>7</v>
      </c>
      <c r="B8" s="22" t="s">
        <v>2205</v>
      </c>
    </row>
    <row r="9" spans="1:2" x14ac:dyDescent="0.25">
      <c r="A9" s="28">
        <v>96</v>
      </c>
      <c r="B9" s="22" t="s">
        <v>1750</v>
      </c>
    </row>
    <row r="10" spans="1:2" x14ac:dyDescent="0.25">
      <c r="A10" s="28">
        <v>99</v>
      </c>
      <c r="B10" s="22" t="s">
        <v>1783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opLeftCell="B1" workbookViewId="0"/>
  </sheetViews>
  <sheetFormatPr defaultRowHeight="15" x14ac:dyDescent="0.25"/>
  <cols>
    <col min="1" max="1" width="9.140625" style="34"/>
    <col min="2" max="2" width="56" style="34" bestFit="1" customWidth="1"/>
    <col min="3" max="16384" width="9.140625" style="34"/>
  </cols>
  <sheetData>
    <row r="1" spans="1:2" x14ac:dyDescent="0.25">
      <c r="A1" s="35" t="s">
        <v>1915</v>
      </c>
      <c r="B1" s="26" t="s">
        <v>1916</v>
      </c>
    </row>
    <row r="2" spans="1:2" x14ac:dyDescent="0.25">
      <c r="A2" s="36">
        <v>1</v>
      </c>
      <c r="B2" s="22" t="s">
        <v>2206</v>
      </c>
    </row>
    <row r="3" spans="1:2" x14ac:dyDescent="0.25">
      <c r="A3" s="36">
        <v>2</v>
      </c>
      <c r="B3" s="22" t="s">
        <v>2207</v>
      </c>
    </row>
    <row r="4" spans="1:2" x14ac:dyDescent="0.25">
      <c r="A4" s="36">
        <v>3</v>
      </c>
      <c r="B4" s="22" t="s">
        <v>2208</v>
      </c>
    </row>
    <row r="5" spans="1:2" x14ac:dyDescent="0.25">
      <c r="A5" s="36">
        <v>4</v>
      </c>
      <c r="B5" s="22" t="s">
        <v>2209</v>
      </c>
    </row>
    <row r="6" spans="1:2" x14ac:dyDescent="0.25">
      <c r="A6" s="36">
        <v>5</v>
      </c>
      <c r="B6" s="22" t="s">
        <v>2210</v>
      </c>
    </row>
    <row r="7" spans="1:2" x14ac:dyDescent="0.25">
      <c r="A7" s="36">
        <v>6</v>
      </c>
      <c r="B7" s="22" t="s">
        <v>2211</v>
      </c>
    </row>
    <row r="8" spans="1:2" x14ac:dyDescent="0.25">
      <c r="A8" s="36">
        <v>96</v>
      </c>
      <c r="B8" s="22" t="s">
        <v>1750</v>
      </c>
    </row>
    <row r="9" spans="1:2" x14ac:dyDescent="0.25">
      <c r="A9" s="36">
        <v>99</v>
      </c>
      <c r="B9" s="22" t="s">
        <v>1783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15" x14ac:dyDescent="0.25"/>
  <cols>
    <col min="1" max="1" width="61.85546875" style="7" customWidth="1"/>
    <col min="2" max="16384" width="9.140625" style="8"/>
  </cols>
  <sheetData>
    <row r="1" spans="1:1" ht="15.75" thickBot="1" x14ac:dyDescent="0.3">
      <c r="A1" s="19" t="s">
        <v>2212</v>
      </c>
    </row>
    <row r="2" spans="1:1" ht="15.75" thickBot="1" x14ac:dyDescent="0.3">
      <c r="A2" s="19" t="s">
        <v>2213</v>
      </c>
    </row>
    <row r="3" spans="1:1" ht="35.25" customHeight="1" thickBot="1" x14ac:dyDescent="0.3">
      <c r="A3" s="19" t="s">
        <v>2214</v>
      </c>
    </row>
    <row r="4" spans="1:1" ht="35.25" customHeight="1" thickBot="1" x14ac:dyDescent="0.3">
      <c r="A4" s="19" t="s">
        <v>2215</v>
      </c>
    </row>
    <row r="5" spans="1:1" ht="124.5" customHeight="1" thickBot="1" x14ac:dyDescent="0.3">
      <c r="A5" s="19" t="s">
        <v>2216</v>
      </c>
    </row>
    <row r="6" spans="1:1" s="15" customFormat="1" ht="99" customHeight="1" thickBot="1" x14ac:dyDescent="0.3">
      <c r="A6" s="19" t="s">
        <v>2217</v>
      </c>
    </row>
    <row r="7" spans="1:1" ht="73.5" customHeight="1" x14ac:dyDescent="0.25">
      <c r="A7" s="19" t="s">
        <v>2218</v>
      </c>
    </row>
    <row r="8" spans="1:1" ht="16.5" thickBot="1" x14ac:dyDescent="0.3">
      <c r="A8" s="6" t="s">
        <v>2219</v>
      </c>
    </row>
    <row r="9" spans="1:1" ht="86.25" customHeight="1" x14ac:dyDescent="0.25">
      <c r="A9" s="19" t="s">
        <v>2220</v>
      </c>
    </row>
  </sheetData>
  <pageMargins left="0.7" right="0.7" top="0.75" bottom="0.75" header="0.3" footer="0.3"/>
  <pageSetup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B18" sqref="B18"/>
    </sheetView>
  </sheetViews>
  <sheetFormatPr defaultRowHeight="15" x14ac:dyDescent="0.25"/>
  <cols>
    <col min="1" max="1" width="9.140625" style="34"/>
    <col min="2" max="2" width="67" style="34" customWidth="1"/>
    <col min="3" max="16384" width="9.140625" style="34"/>
  </cols>
  <sheetData>
    <row r="1" spans="1:2" x14ac:dyDescent="0.25">
      <c r="A1" s="35" t="s">
        <v>1915</v>
      </c>
      <c r="B1" s="26" t="s">
        <v>1916</v>
      </c>
    </row>
    <row r="2" spans="1:2" x14ac:dyDescent="0.25">
      <c r="A2" s="36">
        <v>1</v>
      </c>
      <c r="B2" s="22" t="s">
        <v>2221</v>
      </c>
    </row>
    <row r="3" spans="1:2" x14ac:dyDescent="0.25">
      <c r="A3" s="36">
        <v>2</v>
      </c>
      <c r="B3" s="22" t="s">
        <v>2222</v>
      </c>
    </row>
    <row r="4" spans="1:2" x14ac:dyDescent="0.25">
      <c r="A4" s="36">
        <v>3</v>
      </c>
      <c r="B4" s="22" t="s">
        <v>2223</v>
      </c>
    </row>
    <row r="5" spans="1:2" x14ac:dyDescent="0.25">
      <c r="A5" s="36">
        <v>4</v>
      </c>
      <c r="B5" s="22" t="s">
        <v>2224</v>
      </c>
    </row>
    <row r="6" spans="1:2" x14ac:dyDescent="0.25">
      <c r="A6" s="36">
        <v>5</v>
      </c>
      <c r="B6" s="22" t="s">
        <v>2225</v>
      </c>
    </row>
    <row r="7" spans="1:2" x14ac:dyDescent="0.25">
      <c r="A7" s="36">
        <v>6</v>
      </c>
      <c r="B7" s="22" t="s">
        <v>2226</v>
      </c>
    </row>
    <row r="8" spans="1:2" x14ac:dyDescent="0.25">
      <c r="A8" s="36">
        <v>7</v>
      </c>
      <c r="B8" s="22" t="s">
        <v>2227</v>
      </c>
    </row>
    <row r="9" spans="1:2" x14ac:dyDescent="0.25">
      <c r="A9" s="36">
        <v>8</v>
      </c>
      <c r="B9" s="22" t="s">
        <v>2228</v>
      </c>
    </row>
    <row r="10" spans="1:2" x14ac:dyDescent="0.25">
      <c r="A10" s="36">
        <v>9</v>
      </c>
      <c r="B10" s="22" t="s">
        <v>2229</v>
      </c>
    </row>
    <row r="11" spans="1:2" x14ac:dyDescent="0.25">
      <c r="A11" s="36">
        <v>10</v>
      </c>
      <c r="B11" s="22" t="s">
        <v>2230</v>
      </c>
    </row>
    <row r="12" spans="1:2" x14ac:dyDescent="0.25">
      <c r="A12" s="36">
        <v>11</v>
      </c>
      <c r="B12" s="22" t="s">
        <v>2231</v>
      </c>
    </row>
    <row r="13" spans="1:2" x14ac:dyDescent="0.25">
      <c r="A13" s="36">
        <v>12</v>
      </c>
      <c r="B13" s="22" t="s">
        <v>2232</v>
      </c>
    </row>
    <row r="14" spans="1:2" x14ac:dyDescent="0.25">
      <c r="A14" s="36">
        <v>14</v>
      </c>
      <c r="B14" s="22" t="s">
        <v>2233</v>
      </c>
    </row>
    <row r="15" spans="1:2" x14ac:dyDescent="0.25">
      <c r="A15" s="36">
        <v>15</v>
      </c>
      <c r="B15" s="22" t="s">
        <v>2234</v>
      </c>
    </row>
    <row r="16" spans="1:2" x14ac:dyDescent="0.25">
      <c r="A16" s="36">
        <v>16</v>
      </c>
      <c r="B16" s="22" t="s">
        <v>2235</v>
      </c>
    </row>
    <row r="17" spans="1:2" x14ac:dyDescent="0.25">
      <c r="A17" s="36">
        <v>17</v>
      </c>
      <c r="B17" s="22" t="s">
        <v>2236</v>
      </c>
    </row>
    <row r="18" spans="1:2" x14ac:dyDescent="0.25">
      <c r="A18" s="36">
        <v>96</v>
      </c>
      <c r="B18" s="22" t="s">
        <v>1779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5" x14ac:dyDescent="0.25"/>
  <cols>
    <col min="2" max="2" width="23.5703125" customWidth="1"/>
  </cols>
  <sheetData>
    <row r="1" spans="1:2" x14ac:dyDescent="0.25">
      <c r="A1" s="35" t="s">
        <v>1915</v>
      </c>
      <c r="B1" s="26" t="s">
        <v>1916</v>
      </c>
    </row>
    <row r="2" spans="1:2" x14ac:dyDescent="0.25">
      <c r="A2" s="8">
        <v>1</v>
      </c>
      <c r="B2" s="22" t="s">
        <v>1628</v>
      </c>
    </row>
    <row r="3" spans="1:2" x14ac:dyDescent="0.25">
      <c r="A3" s="8">
        <v>2</v>
      </c>
      <c r="B3" s="22" t="s">
        <v>1917</v>
      </c>
    </row>
    <row r="4" spans="1:2" x14ac:dyDescent="0.25">
      <c r="A4" s="8">
        <v>3</v>
      </c>
      <c r="B4" s="22" t="s">
        <v>1785</v>
      </c>
    </row>
    <row r="5" spans="1:2" x14ac:dyDescent="0.25">
      <c r="A5" s="8">
        <v>4</v>
      </c>
      <c r="B5" s="22" t="s">
        <v>1617</v>
      </c>
    </row>
    <row r="6" spans="1:2" x14ac:dyDescent="0.25">
      <c r="A6" s="8">
        <v>5</v>
      </c>
      <c r="B6" s="22" t="s">
        <v>1918</v>
      </c>
    </row>
    <row r="7" spans="1:2" x14ac:dyDescent="0.25">
      <c r="A7" s="8">
        <v>6</v>
      </c>
      <c r="B7" s="22" t="s">
        <v>1691</v>
      </c>
    </row>
    <row r="8" spans="1:2" x14ac:dyDescent="0.25">
      <c r="A8" s="8">
        <v>7</v>
      </c>
      <c r="B8" s="22" t="s">
        <v>1728</v>
      </c>
    </row>
    <row r="9" spans="1:2" x14ac:dyDescent="0.25">
      <c r="A9" s="8">
        <v>8</v>
      </c>
      <c r="B9" s="22" t="s">
        <v>1919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0" sqref="B10"/>
    </sheetView>
  </sheetViews>
  <sheetFormatPr defaultRowHeight="15" x14ac:dyDescent="0.25"/>
  <cols>
    <col min="1" max="1" width="9.140625" style="8"/>
    <col min="2" max="2" width="50.140625" style="8" bestFit="1" customWidth="1"/>
    <col min="3" max="16384" width="9.140625" style="8"/>
  </cols>
  <sheetData>
    <row r="1" spans="1:2" x14ac:dyDescent="0.25">
      <c r="A1" s="12" t="s">
        <v>1915</v>
      </c>
      <c r="B1" s="11" t="s">
        <v>1916</v>
      </c>
    </row>
    <row r="2" spans="1:2" x14ac:dyDescent="0.25">
      <c r="A2" s="8">
        <v>1</v>
      </c>
      <c r="B2" s="16" t="s">
        <v>2237</v>
      </c>
    </row>
    <row r="3" spans="1:2" x14ac:dyDescent="0.25">
      <c r="A3" s="8">
        <v>2</v>
      </c>
      <c r="B3" s="16" t="s">
        <v>2238</v>
      </c>
    </row>
    <row r="4" spans="1:2" x14ac:dyDescent="0.25">
      <c r="A4" s="8">
        <v>3</v>
      </c>
      <c r="B4" s="16" t="s">
        <v>2239</v>
      </c>
    </row>
    <row r="5" spans="1:2" x14ac:dyDescent="0.25">
      <c r="A5" s="8">
        <v>4</v>
      </c>
      <c r="B5" s="16" t="s">
        <v>2240</v>
      </c>
    </row>
    <row r="6" spans="1:2" x14ac:dyDescent="0.25">
      <c r="A6" s="8">
        <v>5</v>
      </c>
      <c r="B6" s="16" t="s">
        <v>2241</v>
      </c>
    </row>
    <row r="7" spans="1:2" x14ac:dyDescent="0.25">
      <c r="A7" s="8">
        <v>6</v>
      </c>
      <c r="B7" s="16" t="s">
        <v>2242</v>
      </c>
    </row>
    <row r="8" spans="1:2" x14ac:dyDescent="0.25">
      <c r="A8" s="8">
        <v>7</v>
      </c>
      <c r="B8" s="16" t="s">
        <v>2243</v>
      </c>
    </row>
    <row r="9" spans="1:2" x14ac:dyDescent="0.25">
      <c r="A9" s="8">
        <v>8</v>
      </c>
      <c r="B9" s="16" t="s">
        <v>2244</v>
      </c>
    </row>
    <row r="10" spans="1:2" x14ac:dyDescent="0.25">
      <c r="A10" s="8">
        <v>96</v>
      </c>
      <c r="B10" s="16" t="s">
        <v>1779</v>
      </c>
    </row>
    <row r="11" spans="1:2" x14ac:dyDescent="0.25">
      <c r="A11" s="8">
        <v>99</v>
      </c>
      <c r="B11" s="24" t="s">
        <v>1783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heetViews>
  <sheetFormatPr defaultRowHeight="15" x14ac:dyDescent="0.25"/>
  <cols>
    <col min="1" max="1" width="9.140625" style="27"/>
    <col min="2" max="2" width="27.85546875" style="27" bestFit="1" customWidth="1"/>
    <col min="3" max="16384" width="9.140625" style="27"/>
  </cols>
  <sheetData>
    <row r="1" spans="1:2" x14ac:dyDescent="0.25">
      <c r="A1" s="35" t="s">
        <v>1915</v>
      </c>
      <c r="B1" s="26" t="s">
        <v>1916</v>
      </c>
    </row>
    <row r="2" spans="1:2" x14ac:dyDescent="0.25">
      <c r="A2" s="28">
        <v>1</v>
      </c>
      <c r="B2" s="27" t="s">
        <v>2200</v>
      </c>
    </row>
    <row r="3" spans="1:2" x14ac:dyDescent="0.25">
      <c r="A3" s="28">
        <v>2</v>
      </c>
      <c r="B3" s="27" t="s">
        <v>1628</v>
      </c>
    </row>
    <row r="4" spans="1:2" x14ac:dyDescent="0.25">
      <c r="A4" s="28">
        <v>3</v>
      </c>
      <c r="B4" s="27" t="s">
        <v>2245</v>
      </c>
    </row>
    <row r="5" spans="1:2" x14ac:dyDescent="0.25">
      <c r="A5" s="28">
        <v>4</v>
      </c>
      <c r="B5" s="27" t="s">
        <v>1617</v>
      </c>
    </row>
    <row r="6" spans="1:2" x14ac:dyDescent="0.25">
      <c r="A6" s="28">
        <v>5</v>
      </c>
      <c r="B6" s="27" t="s">
        <v>2246</v>
      </c>
    </row>
    <row r="7" spans="1:2" x14ac:dyDescent="0.25">
      <c r="A7" s="28">
        <v>6</v>
      </c>
      <c r="B7" s="27" t="s">
        <v>2247</v>
      </c>
    </row>
    <row r="8" spans="1:2" x14ac:dyDescent="0.25">
      <c r="A8" s="28">
        <v>7</v>
      </c>
      <c r="B8" s="27" t="s">
        <v>2248</v>
      </c>
    </row>
    <row r="9" spans="1:2" x14ac:dyDescent="0.25">
      <c r="A9" s="28">
        <v>8</v>
      </c>
      <c r="B9" s="27" t="s">
        <v>2249</v>
      </c>
    </row>
    <row r="10" spans="1:2" x14ac:dyDescent="0.25">
      <c r="A10" s="28">
        <v>9</v>
      </c>
      <c r="B10" s="27" t="s">
        <v>2250</v>
      </c>
    </row>
    <row r="11" spans="1:2" x14ac:dyDescent="0.25">
      <c r="A11" s="28">
        <v>10</v>
      </c>
      <c r="B11" s="27" t="s">
        <v>2251</v>
      </c>
    </row>
    <row r="12" spans="1:2" x14ac:dyDescent="0.25">
      <c r="A12" s="28">
        <v>11</v>
      </c>
      <c r="B12" s="27" t="s">
        <v>2252</v>
      </c>
    </row>
    <row r="13" spans="1:2" x14ac:dyDescent="0.25">
      <c r="A13" s="28">
        <v>12</v>
      </c>
      <c r="B13" s="27" t="s">
        <v>2253</v>
      </c>
    </row>
    <row r="14" spans="1:2" x14ac:dyDescent="0.25">
      <c r="A14" s="28">
        <v>13</v>
      </c>
      <c r="B14" s="27" t="s">
        <v>2254</v>
      </c>
    </row>
    <row r="15" spans="1:2" x14ac:dyDescent="0.25">
      <c r="A15" s="28">
        <v>14</v>
      </c>
      <c r="B15" s="27" t="s">
        <v>2255</v>
      </c>
    </row>
    <row r="16" spans="1:2" x14ac:dyDescent="0.25">
      <c r="A16" s="28">
        <v>15</v>
      </c>
      <c r="B16" s="27" t="s">
        <v>2256</v>
      </c>
    </row>
    <row r="17" spans="1:2" x14ac:dyDescent="0.25">
      <c r="A17" s="28">
        <v>16</v>
      </c>
      <c r="B17" s="27" t="s">
        <v>2257</v>
      </c>
    </row>
    <row r="18" spans="1:2" x14ac:dyDescent="0.25">
      <c r="A18" s="28">
        <v>17</v>
      </c>
      <c r="B18" s="27" t="s">
        <v>2258</v>
      </c>
    </row>
    <row r="19" spans="1:2" x14ac:dyDescent="0.25">
      <c r="A19" s="28">
        <v>96</v>
      </c>
      <c r="B19" s="27" t="s">
        <v>1750</v>
      </c>
    </row>
    <row r="20" spans="1:2" x14ac:dyDescent="0.25">
      <c r="A20" s="28">
        <v>19</v>
      </c>
      <c r="B20" s="27" t="s">
        <v>2259</v>
      </c>
    </row>
    <row r="21" spans="1:2" x14ac:dyDescent="0.25">
      <c r="A21" s="28">
        <v>99</v>
      </c>
      <c r="B21" s="27" t="s">
        <v>1783</v>
      </c>
    </row>
    <row r="22" spans="1:2" x14ac:dyDescent="0.25">
      <c r="B22" s="22"/>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opLeftCell="A7" workbookViewId="0">
      <selection activeCell="A14" sqref="A14"/>
    </sheetView>
  </sheetViews>
  <sheetFormatPr defaultRowHeight="15" x14ac:dyDescent="0.25"/>
  <cols>
    <col min="1" max="1" width="9.140625" style="8"/>
    <col min="2" max="2" width="77.42578125" style="8" customWidth="1"/>
    <col min="3" max="3" width="80.5703125" style="8" customWidth="1"/>
    <col min="4" max="16384" width="9.140625" style="8"/>
  </cols>
  <sheetData>
    <row r="1" spans="1:3" x14ac:dyDescent="0.25">
      <c r="A1" s="12" t="s">
        <v>1915</v>
      </c>
      <c r="B1" s="11" t="s">
        <v>1916</v>
      </c>
    </row>
    <row r="2" spans="1:3" x14ac:dyDescent="0.25">
      <c r="A2" s="8">
        <v>1</v>
      </c>
      <c r="B2" s="4" t="s">
        <v>1937</v>
      </c>
      <c r="C2" s="20"/>
    </row>
    <row r="3" spans="1:3" x14ac:dyDescent="0.25">
      <c r="A3" s="8">
        <v>2</v>
      </c>
      <c r="B3" s="4" t="s">
        <v>1938</v>
      </c>
    </row>
    <row r="4" spans="1:3" x14ac:dyDescent="0.25">
      <c r="A4" s="8">
        <v>3</v>
      </c>
      <c r="B4" s="4" t="s">
        <v>2260</v>
      </c>
    </row>
    <row r="5" spans="1:3" ht="25.5" x14ac:dyDescent="0.25">
      <c r="A5" s="8">
        <v>4</v>
      </c>
      <c r="B5" s="4" t="s">
        <v>1940</v>
      </c>
    </row>
    <row r="6" spans="1:3" x14ac:dyDescent="0.25">
      <c r="A6" s="8">
        <v>5</v>
      </c>
      <c r="B6" s="4" t="s">
        <v>1941</v>
      </c>
    </row>
    <row r="7" spans="1:3" x14ac:dyDescent="0.25">
      <c r="A7" s="8">
        <v>6</v>
      </c>
      <c r="B7" s="4" t="s">
        <v>2261</v>
      </c>
    </row>
    <row r="8" spans="1:3" x14ac:dyDescent="0.25">
      <c r="A8" s="8">
        <v>7</v>
      </c>
      <c r="B8" s="5" t="s">
        <v>2262</v>
      </c>
    </row>
    <row r="9" spans="1:3" x14ac:dyDescent="0.25">
      <c r="A9" s="8">
        <v>8</v>
      </c>
      <c r="B9" s="5" t="s">
        <v>2263</v>
      </c>
    </row>
    <row r="10" spans="1:3" x14ac:dyDescent="0.25">
      <c r="A10" s="8">
        <v>9</v>
      </c>
      <c r="B10" s="4" t="s">
        <v>2264</v>
      </c>
    </row>
    <row r="11" spans="1:3" x14ac:dyDescent="0.25">
      <c r="A11" s="8">
        <v>12</v>
      </c>
      <c r="B11" s="4" t="s">
        <v>2265</v>
      </c>
    </row>
    <row r="12" spans="1:3" x14ac:dyDescent="0.25">
      <c r="A12" s="8">
        <v>10</v>
      </c>
      <c r="B12" s="4" t="s">
        <v>1750</v>
      </c>
    </row>
    <row r="13" spans="1:3" x14ac:dyDescent="0.25">
      <c r="A13" s="8">
        <v>11</v>
      </c>
      <c r="B13" s="4" t="s">
        <v>1947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heetViews>
  <sheetFormatPr defaultRowHeight="15" x14ac:dyDescent="0.25"/>
  <cols>
    <col min="1" max="1" width="9.140625" style="27"/>
    <col min="2" max="2" width="64.28515625" style="27" bestFit="1" customWidth="1"/>
    <col min="3" max="16384" width="9.140625" style="27"/>
  </cols>
  <sheetData>
    <row r="1" spans="1:2" x14ac:dyDescent="0.25">
      <c r="A1" s="35" t="s">
        <v>1915</v>
      </c>
      <c r="B1" s="26" t="s">
        <v>1916</v>
      </c>
    </row>
    <row r="2" spans="1:2" x14ac:dyDescent="0.25">
      <c r="A2" s="36">
        <v>1</v>
      </c>
      <c r="B2" s="22" t="s">
        <v>2266</v>
      </c>
    </row>
    <row r="3" spans="1:2" x14ac:dyDescent="0.25">
      <c r="A3" s="36">
        <v>2</v>
      </c>
      <c r="B3" s="22" t="s">
        <v>2267</v>
      </c>
    </row>
    <row r="4" spans="1:2" x14ac:dyDescent="0.25">
      <c r="A4" s="36">
        <v>3</v>
      </c>
      <c r="B4" s="22" t="s">
        <v>2268</v>
      </c>
    </row>
    <row r="5" spans="1:2" x14ac:dyDescent="0.25">
      <c r="A5" s="36">
        <v>4</v>
      </c>
      <c r="B5" s="22" t="s">
        <v>2269</v>
      </c>
    </row>
    <row r="6" spans="1:2" x14ac:dyDescent="0.25">
      <c r="A6" s="36">
        <v>5</v>
      </c>
      <c r="B6" s="22" t="s">
        <v>2270</v>
      </c>
    </row>
    <row r="7" spans="1:2" x14ac:dyDescent="0.25">
      <c r="A7" s="36">
        <v>6</v>
      </c>
      <c r="B7" s="22" t="s">
        <v>2271</v>
      </c>
    </row>
    <row r="8" spans="1:2" x14ac:dyDescent="0.25">
      <c r="A8" s="36">
        <v>7</v>
      </c>
      <c r="B8" s="22" t="s">
        <v>2272</v>
      </c>
    </row>
    <row r="9" spans="1:2" x14ac:dyDescent="0.25">
      <c r="A9" s="36">
        <v>8</v>
      </c>
      <c r="B9" s="22" t="s">
        <v>2273</v>
      </c>
    </row>
    <row r="10" spans="1:2" x14ac:dyDescent="0.25">
      <c r="A10" s="36">
        <v>9</v>
      </c>
      <c r="B10" s="22" t="s">
        <v>2274</v>
      </c>
    </row>
    <row r="11" spans="1:2" x14ac:dyDescent="0.25">
      <c r="A11" s="36">
        <v>10</v>
      </c>
      <c r="B11" s="27" t="s">
        <v>2275</v>
      </c>
    </row>
    <row r="12" spans="1:2" x14ac:dyDescent="0.25">
      <c r="A12" s="36">
        <v>11</v>
      </c>
      <c r="B12" s="22" t="s">
        <v>2276</v>
      </c>
    </row>
    <row r="13" spans="1:2" x14ac:dyDescent="0.25">
      <c r="A13" s="36">
        <v>96</v>
      </c>
      <c r="B13" s="22" t="s">
        <v>2277</v>
      </c>
    </row>
    <row r="14" spans="1:2" x14ac:dyDescent="0.25">
      <c r="A14" s="36">
        <v>99</v>
      </c>
      <c r="B14" s="22" t="s">
        <v>1783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RowHeight="15" x14ac:dyDescent="0.25"/>
  <cols>
    <col min="1" max="1" width="9.140625" style="27"/>
    <col min="2" max="2" width="82.5703125" style="27" bestFit="1" customWidth="1"/>
    <col min="3" max="16384" width="9.140625" style="27"/>
  </cols>
  <sheetData>
    <row r="1" spans="1:2" x14ac:dyDescent="0.25">
      <c r="A1" s="35" t="s">
        <v>1915</v>
      </c>
      <c r="B1" s="26" t="s">
        <v>1916</v>
      </c>
    </row>
    <row r="2" spans="1:2" x14ac:dyDescent="0.25">
      <c r="A2" s="28">
        <v>1</v>
      </c>
      <c r="B2" s="27" t="s">
        <v>2278</v>
      </c>
    </row>
    <row r="3" spans="1:2" x14ac:dyDescent="0.25">
      <c r="A3" s="28">
        <v>2</v>
      </c>
      <c r="B3" s="27" t="s">
        <v>2279</v>
      </c>
    </row>
    <row r="4" spans="1:2" x14ac:dyDescent="0.25">
      <c r="A4" s="28">
        <v>3</v>
      </c>
      <c r="B4" s="27" t="s">
        <v>2280</v>
      </c>
    </row>
    <row r="5" spans="1:2" x14ac:dyDescent="0.25">
      <c r="A5" s="28">
        <v>4</v>
      </c>
      <c r="B5" s="27" t="s">
        <v>2281</v>
      </c>
    </row>
    <row r="6" spans="1:2" x14ac:dyDescent="0.25">
      <c r="A6" s="28">
        <v>5</v>
      </c>
      <c r="B6" s="27" t="s">
        <v>2282</v>
      </c>
    </row>
    <row r="7" spans="1:2" x14ac:dyDescent="0.25">
      <c r="A7" s="28">
        <v>6</v>
      </c>
      <c r="B7" s="27" t="s">
        <v>2283</v>
      </c>
    </row>
    <row r="8" spans="1:2" x14ac:dyDescent="0.25">
      <c r="A8" s="28">
        <v>7</v>
      </c>
      <c r="B8" s="27" t="s">
        <v>2284</v>
      </c>
    </row>
    <row r="9" spans="1:2" x14ac:dyDescent="0.25">
      <c r="A9" s="28">
        <v>8</v>
      </c>
      <c r="B9" s="27" t="s">
        <v>2285</v>
      </c>
    </row>
    <row r="10" spans="1:2" x14ac:dyDescent="0.25">
      <c r="A10" s="28">
        <v>9</v>
      </c>
      <c r="B10" s="27" t="s">
        <v>2286</v>
      </c>
    </row>
    <row r="11" spans="1:2" x14ac:dyDescent="0.25">
      <c r="A11" s="28">
        <v>10</v>
      </c>
      <c r="B11" s="27" t="s">
        <v>2287</v>
      </c>
    </row>
    <row r="12" spans="1:2" x14ac:dyDescent="0.25">
      <c r="A12" s="28">
        <v>96</v>
      </c>
      <c r="B12" s="27" t="s">
        <v>1750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RowHeight="15" x14ac:dyDescent="0.25"/>
  <cols>
    <col min="1" max="1" width="9.140625" style="34"/>
    <col min="2" max="2" width="117.28515625" style="34" bestFit="1" customWidth="1"/>
    <col min="3" max="16384" width="9.140625" style="34"/>
  </cols>
  <sheetData>
    <row r="1" spans="1:2" x14ac:dyDescent="0.25">
      <c r="A1" s="35" t="s">
        <v>1915</v>
      </c>
      <c r="B1" s="26" t="s">
        <v>1916</v>
      </c>
    </row>
    <row r="2" spans="1:2" x14ac:dyDescent="0.25">
      <c r="A2" s="36">
        <v>1</v>
      </c>
      <c r="B2" s="22" t="s">
        <v>2288</v>
      </c>
    </row>
    <row r="3" spans="1:2" x14ac:dyDescent="0.25">
      <c r="A3" s="36">
        <v>2</v>
      </c>
      <c r="B3" s="22" t="s">
        <v>2289</v>
      </c>
    </row>
    <row r="4" spans="1:2" x14ac:dyDescent="0.25">
      <c r="A4" s="36">
        <v>3</v>
      </c>
      <c r="B4" s="22" t="s">
        <v>2173</v>
      </c>
    </row>
    <row r="5" spans="1:2" x14ac:dyDescent="0.25">
      <c r="A5" s="36">
        <v>4</v>
      </c>
      <c r="B5" s="22" t="s">
        <v>2290</v>
      </c>
    </row>
    <row r="6" spans="1:2" x14ac:dyDescent="0.25">
      <c r="A6" s="36">
        <v>5</v>
      </c>
      <c r="B6" s="22" t="s">
        <v>2291</v>
      </c>
    </row>
    <row r="7" spans="1:2" x14ac:dyDescent="0.25">
      <c r="A7" s="36">
        <v>6</v>
      </c>
      <c r="B7" s="22" t="s">
        <v>2137</v>
      </c>
    </row>
    <row r="8" spans="1:2" x14ac:dyDescent="0.25">
      <c r="A8" s="36">
        <v>7</v>
      </c>
      <c r="B8" s="22" t="s">
        <v>2292</v>
      </c>
    </row>
    <row r="9" spans="1:2" x14ac:dyDescent="0.25">
      <c r="A9" s="36">
        <v>8</v>
      </c>
      <c r="B9" s="22" t="s">
        <v>2165</v>
      </c>
    </row>
    <row r="10" spans="1:2" x14ac:dyDescent="0.25">
      <c r="A10" s="36">
        <v>9</v>
      </c>
      <c r="B10" s="22" t="s">
        <v>2293</v>
      </c>
    </row>
    <row r="11" spans="1:2" x14ac:dyDescent="0.25">
      <c r="A11" s="36">
        <v>10</v>
      </c>
      <c r="B11" s="22" t="s">
        <v>2294</v>
      </c>
    </row>
    <row r="12" spans="1:2" x14ac:dyDescent="0.25">
      <c r="A12" s="36">
        <v>11</v>
      </c>
      <c r="B12" s="22" t="s">
        <v>2295</v>
      </c>
    </row>
    <row r="13" spans="1:2" x14ac:dyDescent="0.25">
      <c r="A13" s="36">
        <v>12</v>
      </c>
      <c r="B13" s="22" t="s">
        <v>2296</v>
      </c>
    </row>
    <row r="14" spans="1:2" x14ac:dyDescent="0.25">
      <c r="A14" s="36">
        <v>13</v>
      </c>
      <c r="B14" s="22" t="s">
        <v>2297</v>
      </c>
    </row>
    <row r="15" spans="1:2" x14ac:dyDescent="0.25">
      <c r="A15" s="36">
        <v>14</v>
      </c>
      <c r="B15" s="22" t="s">
        <v>2298</v>
      </c>
    </row>
    <row r="16" spans="1:2" x14ac:dyDescent="0.25">
      <c r="A16" s="36">
        <v>15</v>
      </c>
      <c r="B16" s="22" t="s">
        <v>2299</v>
      </c>
    </row>
    <row r="17" spans="1:2" x14ac:dyDescent="0.25">
      <c r="A17" s="36">
        <v>96</v>
      </c>
      <c r="B17" s="22" t="s">
        <v>1750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RowHeight="15" x14ac:dyDescent="0.25"/>
  <cols>
    <col min="1" max="1" width="9.140625" style="27"/>
    <col min="2" max="2" width="83.28515625" style="27" customWidth="1"/>
    <col min="3" max="16384" width="9.140625" style="27"/>
  </cols>
  <sheetData>
    <row r="1" spans="1:2" x14ac:dyDescent="0.25">
      <c r="A1" s="35" t="s">
        <v>1915</v>
      </c>
      <c r="B1" s="26" t="s">
        <v>1916</v>
      </c>
    </row>
    <row r="2" spans="1:2" x14ac:dyDescent="0.25">
      <c r="A2" s="28">
        <v>1</v>
      </c>
      <c r="B2" s="22" t="s">
        <v>2300</v>
      </c>
    </row>
    <row r="3" spans="1:2" x14ac:dyDescent="0.25">
      <c r="A3" s="28">
        <v>2</v>
      </c>
      <c r="B3" s="22" t="s">
        <v>2289</v>
      </c>
    </row>
    <row r="4" spans="1:2" x14ac:dyDescent="0.25">
      <c r="A4" s="28">
        <v>3</v>
      </c>
      <c r="B4" s="22" t="s">
        <v>2173</v>
      </c>
    </row>
    <row r="5" spans="1:2" x14ac:dyDescent="0.25">
      <c r="A5" s="28">
        <v>4</v>
      </c>
      <c r="B5" s="22" t="s">
        <v>2290</v>
      </c>
    </row>
    <row r="6" spans="1:2" x14ac:dyDescent="0.25">
      <c r="A6" s="28">
        <v>5</v>
      </c>
      <c r="B6" s="22" t="s">
        <v>2291</v>
      </c>
    </row>
    <row r="7" spans="1:2" x14ac:dyDescent="0.25">
      <c r="A7" s="28">
        <v>6</v>
      </c>
      <c r="B7" s="22" t="s">
        <v>2137</v>
      </c>
    </row>
    <row r="8" spans="1:2" x14ac:dyDescent="0.25">
      <c r="A8" s="28">
        <v>7</v>
      </c>
      <c r="B8" s="22" t="s">
        <v>2292</v>
      </c>
    </row>
    <row r="9" spans="1:2" x14ac:dyDescent="0.25">
      <c r="A9" s="28">
        <v>8</v>
      </c>
      <c r="B9" s="22" t="s">
        <v>2165</v>
      </c>
    </row>
    <row r="10" spans="1:2" x14ac:dyDescent="0.25">
      <c r="A10" s="28">
        <v>9</v>
      </c>
      <c r="B10" s="22" t="s">
        <v>2301</v>
      </c>
    </row>
    <row r="11" spans="1:2" x14ac:dyDescent="0.25">
      <c r="A11" s="28">
        <v>10</v>
      </c>
      <c r="B11" s="22" t="s">
        <v>2302</v>
      </c>
    </row>
    <row r="12" spans="1:2" x14ac:dyDescent="0.25">
      <c r="A12" s="28">
        <v>11</v>
      </c>
      <c r="B12" s="22" t="s">
        <v>2294</v>
      </c>
    </row>
    <row r="13" spans="1:2" x14ac:dyDescent="0.25">
      <c r="A13" s="28">
        <v>12</v>
      </c>
      <c r="B13" s="22" t="s">
        <v>2295</v>
      </c>
    </row>
    <row r="14" spans="1:2" x14ac:dyDescent="0.25">
      <c r="A14" s="28">
        <v>13</v>
      </c>
      <c r="B14" s="22" t="s">
        <v>2303</v>
      </c>
    </row>
    <row r="15" spans="1:2" x14ac:dyDescent="0.25">
      <c r="A15" s="28">
        <v>14</v>
      </c>
      <c r="B15" s="22" t="s">
        <v>2297</v>
      </c>
    </row>
    <row r="16" spans="1:2" x14ac:dyDescent="0.25">
      <c r="A16" s="28">
        <v>15</v>
      </c>
      <c r="B16" s="22" t="s">
        <v>2304</v>
      </c>
    </row>
    <row r="17" spans="1:2" x14ac:dyDescent="0.25">
      <c r="A17" s="28">
        <v>96</v>
      </c>
      <c r="B17" s="25" t="s">
        <v>1750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B6" sqref="B6"/>
    </sheetView>
  </sheetViews>
  <sheetFormatPr defaultRowHeight="15" x14ac:dyDescent="0.25"/>
  <cols>
    <col min="1" max="1" width="29.7109375" style="8" bestFit="1" customWidth="1"/>
    <col min="2" max="16384" width="9.140625" style="8"/>
  </cols>
  <sheetData>
    <row r="1" spans="1:1" s="7" customFormat="1" x14ac:dyDescent="0.25">
      <c r="A1" s="22" t="s">
        <v>1632</v>
      </c>
    </row>
    <row r="2" spans="1:1" s="7" customFormat="1" x14ac:dyDescent="0.25">
      <c r="A2" s="22" t="s">
        <v>1669</v>
      </c>
    </row>
    <row r="3" spans="1:1" s="7" customFormat="1" x14ac:dyDescent="0.25">
      <c r="A3" s="22" t="s">
        <v>2305</v>
      </c>
    </row>
    <row r="4" spans="1:1" s="7" customFormat="1" x14ac:dyDescent="0.25">
      <c r="A4" s="22" t="s">
        <v>2306</v>
      </c>
    </row>
    <row r="5" spans="1:1" x14ac:dyDescent="0.25">
      <c r="A5" s="22" t="s">
        <v>2307</v>
      </c>
    </row>
    <row r="6" spans="1:1" x14ac:dyDescent="0.25">
      <c r="A6" s="22" t="s">
        <v>2308</v>
      </c>
    </row>
    <row r="7" spans="1:1" x14ac:dyDescent="0.25">
      <c r="A7" s="22" t="s">
        <v>2309</v>
      </c>
    </row>
    <row r="8" spans="1:1" x14ac:dyDescent="0.25">
      <c r="A8" s="22" t="s">
        <v>2310</v>
      </c>
    </row>
    <row r="9" spans="1:1" x14ac:dyDescent="0.25">
      <c r="A9" s="22" t="s">
        <v>2311</v>
      </c>
    </row>
    <row r="10" spans="1:1" x14ac:dyDescent="0.25">
      <c r="A10" s="22" t="s">
        <v>2312</v>
      </c>
    </row>
    <row r="11" spans="1:1" x14ac:dyDescent="0.25">
      <c r="A11" s="22" t="s">
        <v>2313</v>
      </c>
    </row>
    <row r="12" spans="1:1" x14ac:dyDescent="0.25">
      <c r="A12" s="22" t="s">
        <v>2314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C14" sqref="C14"/>
    </sheetView>
  </sheetViews>
  <sheetFormatPr defaultRowHeight="15" x14ac:dyDescent="0.25"/>
  <cols>
    <col min="1" max="1" width="31" customWidth="1"/>
    <col min="3" max="3" width="44" bestFit="1" customWidth="1"/>
  </cols>
  <sheetData>
    <row r="1" spans="1:3" s="8" customFormat="1" x14ac:dyDescent="0.25">
      <c r="A1" s="21" t="s">
        <v>1920</v>
      </c>
      <c r="C1" s="21" t="s">
        <v>1921</v>
      </c>
    </row>
    <row r="2" spans="1:3" x14ac:dyDescent="0.25">
      <c r="A2" s="22" t="s">
        <v>1922</v>
      </c>
      <c r="B2" s="8"/>
      <c r="C2" s="42" t="s">
        <v>1923</v>
      </c>
    </row>
    <row r="3" spans="1:3" x14ac:dyDescent="0.25">
      <c r="A3" s="22" t="s">
        <v>1924</v>
      </c>
      <c r="B3" s="8"/>
      <c r="C3" s="42" t="s">
        <v>1925</v>
      </c>
    </row>
    <row r="4" spans="1:3" x14ac:dyDescent="0.25">
      <c r="A4" s="22" t="s">
        <v>1926</v>
      </c>
      <c r="B4" s="8"/>
      <c r="C4" s="42" t="s">
        <v>1927</v>
      </c>
    </row>
    <row r="5" spans="1:3" x14ac:dyDescent="0.25">
      <c r="A5" s="48">
        <v>3</v>
      </c>
      <c r="B5" s="8"/>
      <c r="C5" s="42" t="s">
        <v>1928</v>
      </c>
    </row>
    <row r="6" spans="1:3" x14ac:dyDescent="0.25">
      <c r="A6" s="22" t="s">
        <v>1929</v>
      </c>
      <c r="B6" s="8"/>
      <c r="C6" s="42" t="s">
        <v>1930</v>
      </c>
    </row>
    <row r="7" spans="1:3" x14ac:dyDescent="0.25">
      <c r="A7" s="22" t="s">
        <v>1931</v>
      </c>
      <c r="B7" s="8"/>
      <c r="C7" s="42" t="s">
        <v>1932</v>
      </c>
    </row>
    <row r="8" spans="1:3" x14ac:dyDescent="0.25">
      <c r="A8" s="22" t="s">
        <v>1933</v>
      </c>
      <c r="B8" s="8"/>
      <c r="C8" s="42" t="s">
        <v>1934</v>
      </c>
    </row>
    <row r="9" spans="1:3" x14ac:dyDescent="0.25">
      <c r="A9" s="22" t="s">
        <v>1853</v>
      </c>
      <c r="B9" s="8"/>
      <c r="C9" s="42" t="s">
        <v>1935</v>
      </c>
    </row>
    <row r="10" spans="1:3" x14ac:dyDescent="0.25">
      <c r="A10" s="18" t="s">
        <v>1783</v>
      </c>
      <c r="B10" s="8"/>
      <c r="C10" s="42" t="s">
        <v>1936</v>
      </c>
    </row>
    <row r="11" spans="1:3" x14ac:dyDescent="0.25">
      <c r="A11" s="18"/>
      <c r="B11" s="8"/>
      <c r="C11" s="42" t="s">
        <v>1868</v>
      </c>
    </row>
    <row r="12" spans="1:3" x14ac:dyDescent="0.25">
      <c r="A12" s="18"/>
      <c r="B12" s="8"/>
      <c r="C12" s="42" t="s">
        <v>2368</v>
      </c>
    </row>
    <row r="13" spans="1:3" x14ac:dyDescent="0.25">
      <c r="A13" s="18"/>
      <c r="B13" s="8"/>
      <c r="C13" s="42" t="s">
        <v>1779</v>
      </c>
    </row>
    <row r="14" spans="1:3" x14ac:dyDescent="0.25">
      <c r="A14" s="18"/>
      <c r="B14" s="8"/>
      <c r="C14" s="8"/>
    </row>
    <row r="15" spans="1:3" x14ac:dyDescent="0.25">
      <c r="A15" s="17"/>
      <c r="B15" s="8"/>
      <c r="C15" s="42"/>
    </row>
    <row r="16" spans="1:3" x14ac:dyDescent="0.25">
      <c r="A16" s="17"/>
      <c r="B16" s="8"/>
      <c r="C16" s="42"/>
    </row>
    <row r="17" spans="3:3" x14ac:dyDescent="0.25">
      <c r="C17" s="42"/>
    </row>
    <row r="18" spans="3:3" x14ac:dyDescent="0.25">
      <c r="C18" s="42"/>
    </row>
    <row r="19" spans="3:3" x14ac:dyDescent="0.25">
      <c r="C19" s="42"/>
    </row>
    <row r="20" spans="3:3" x14ac:dyDescent="0.25">
      <c r="C20" s="42"/>
    </row>
    <row r="21" spans="3:3" x14ac:dyDescent="0.25">
      <c r="C21" s="42"/>
    </row>
    <row r="22" spans="3:3" x14ac:dyDescent="0.25">
      <c r="C22" s="42"/>
    </row>
    <row r="23" spans="3:3" x14ac:dyDescent="0.25">
      <c r="C23" s="42"/>
    </row>
    <row r="24" spans="3:3" x14ac:dyDescent="0.25">
      <c r="C24" s="42"/>
    </row>
    <row r="25" spans="3:3" x14ac:dyDescent="0.25">
      <c r="C25" s="42"/>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12" sqref="B12"/>
    </sheetView>
  </sheetViews>
  <sheetFormatPr defaultRowHeight="15" x14ac:dyDescent="0.25"/>
  <cols>
    <col min="2" max="2" width="84.7109375" bestFit="1" customWidth="1"/>
  </cols>
  <sheetData>
    <row r="1" spans="1:3" x14ac:dyDescent="0.25">
      <c r="A1" s="35" t="s">
        <v>1915</v>
      </c>
      <c r="B1" s="26" t="s">
        <v>1916</v>
      </c>
      <c r="C1" s="8"/>
    </row>
    <row r="2" spans="1:3" x14ac:dyDescent="0.25">
      <c r="A2" s="28">
        <v>1</v>
      </c>
      <c r="B2" s="22" t="s">
        <v>1937</v>
      </c>
      <c r="C2" s="8"/>
    </row>
    <row r="3" spans="1:3" x14ac:dyDescent="0.25">
      <c r="A3" s="28">
        <v>2</v>
      </c>
      <c r="B3" s="22" t="s">
        <v>1938</v>
      </c>
      <c r="C3" s="8"/>
    </row>
    <row r="4" spans="1:3" x14ac:dyDescent="0.25">
      <c r="A4" s="28">
        <v>3</v>
      </c>
      <c r="B4" s="22" t="s">
        <v>1939</v>
      </c>
      <c r="C4" s="8"/>
    </row>
    <row r="5" spans="1:3" x14ac:dyDescent="0.25">
      <c r="A5" s="28">
        <v>4</v>
      </c>
      <c r="B5" s="22" t="s">
        <v>1940</v>
      </c>
      <c r="C5" s="8"/>
    </row>
    <row r="6" spans="1:3" x14ac:dyDescent="0.25">
      <c r="A6" s="28">
        <v>5</v>
      </c>
      <c r="B6" s="8" t="s">
        <v>1941</v>
      </c>
      <c r="C6" s="8"/>
    </row>
    <row r="7" spans="1:3" x14ac:dyDescent="0.25">
      <c r="A7" s="28">
        <v>6</v>
      </c>
      <c r="B7" s="22" t="s">
        <v>1942</v>
      </c>
      <c r="C7" s="8"/>
    </row>
    <row r="8" spans="1:3" x14ac:dyDescent="0.25">
      <c r="A8" s="28">
        <v>7</v>
      </c>
      <c r="B8" s="37" t="s">
        <v>1943</v>
      </c>
      <c r="C8" s="8"/>
    </row>
    <row r="9" spans="1:3" x14ac:dyDescent="0.25">
      <c r="A9" s="28">
        <v>8</v>
      </c>
      <c r="B9" s="37" t="s">
        <v>1944</v>
      </c>
      <c r="C9" s="8"/>
    </row>
    <row r="10" spans="1:3" x14ac:dyDescent="0.25">
      <c r="A10" s="28">
        <v>9</v>
      </c>
      <c r="B10" s="22" t="s">
        <v>1945</v>
      </c>
      <c r="C10" s="8"/>
    </row>
    <row r="11" spans="1:3" x14ac:dyDescent="0.25">
      <c r="A11" s="28">
        <v>10</v>
      </c>
      <c r="B11" s="22" t="s">
        <v>1946</v>
      </c>
      <c r="C11" s="8"/>
    </row>
    <row r="12" spans="1:3" x14ac:dyDescent="0.25">
      <c r="A12" s="28">
        <v>11</v>
      </c>
      <c r="B12" s="22" t="s">
        <v>1947</v>
      </c>
      <c r="C12" s="8"/>
    </row>
    <row r="13" spans="1:3" x14ac:dyDescent="0.25">
      <c r="A13" s="28">
        <v>96</v>
      </c>
      <c r="B13" s="22" t="s">
        <v>1750</v>
      </c>
      <c r="C13"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1" sqref="B11"/>
    </sheetView>
  </sheetViews>
  <sheetFormatPr defaultRowHeight="15" x14ac:dyDescent="0.25"/>
  <cols>
    <col min="1" max="1" width="5.7109375" style="27" bestFit="1" customWidth="1"/>
    <col min="2" max="2" width="73.5703125" style="27" bestFit="1" customWidth="1"/>
    <col min="3" max="16384" width="9.140625" style="27"/>
  </cols>
  <sheetData>
    <row r="1" spans="1:2" x14ac:dyDescent="0.25">
      <c r="A1" s="35" t="s">
        <v>1915</v>
      </c>
      <c r="B1" s="26" t="s">
        <v>1916</v>
      </c>
    </row>
    <row r="2" spans="1:2" x14ac:dyDescent="0.25">
      <c r="A2" s="36">
        <v>1</v>
      </c>
      <c r="B2" s="22" t="s">
        <v>1948</v>
      </c>
    </row>
    <row r="3" spans="1:2" x14ac:dyDescent="0.25">
      <c r="A3" s="36">
        <v>2</v>
      </c>
      <c r="B3" s="22" t="s">
        <v>1949</v>
      </c>
    </row>
    <row r="4" spans="1:2" x14ac:dyDescent="0.25">
      <c r="A4" s="36">
        <v>3</v>
      </c>
      <c r="B4" s="22" t="s">
        <v>1950</v>
      </c>
    </row>
    <row r="5" spans="1:2" x14ac:dyDescent="0.25">
      <c r="A5" s="36">
        <v>4</v>
      </c>
      <c r="B5" s="22" t="s">
        <v>1951</v>
      </c>
    </row>
    <row r="6" spans="1:2" x14ac:dyDescent="0.25">
      <c r="A6" s="36">
        <v>5</v>
      </c>
      <c r="B6" s="22" t="s">
        <v>1952</v>
      </c>
    </row>
    <row r="7" spans="1:2" x14ac:dyDescent="0.25">
      <c r="A7" s="36">
        <v>6</v>
      </c>
      <c r="B7" s="22" t="s">
        <v>1953</v>
      </c>
    </row>
    <row r="8" spans="1:2" x14ac:dyDescent="0.25">
      <c r="A8" s="36">
        <v>7</v>
      </c>
      <c r="B8" s="22" t="s">
        <v>1954</v>
      </c>
    </row>
    <row r="9" spans="1:2" x14ac:dyDescent="0.25">
      <c r="A9" s="36">
        <v>8</v>
      </c>
      <c r="B9" s="22" t="s">
        <v>1955</v>
      </c>
    </row>
    <row r="10" spans="1:2" x14ac:dyDescent="0.25">
      <c r="A10" s="36">
        <v>9</v>
      </c>
      <c r="B10" s="22" t="s">
        <v>1956</v>
      </c>
    </row>
    <row r="11" spans="1:2" x14ac:dyDescent="0.25">
      <c r="A11" s="36">
        <v>96</v>
      </c>
      <c r="B11" s="22" t="s">
        <v>1957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RowHeight="15" x14ac:dyDescent="0.25"/>
  <cols>
    <col min="1" max="1" width="9.140625" style="27"/>
    <col min="2" max="2" width="58.140625" style="27" bestFit="1" customWidth="1"/>
    <col min="3" max="16384" width="9.140625" style="27"/>
  </cols>
  <sheetData>
    <row r="1" spans="1:2" x14ac:dyDescent="0.25">
      <c r="A1" s="35" t="s">
        <v>1915</v>
      </c>
      <c r="B1" s="26" t="s">
        <v>1916</v>
      </c>
    </row>
    <row r="2" spans="1:2" x14ac:dyDescent="0.25">
      <c r="A2" s="36">
        <v>1</v>
      </c>
      <c r="B2" s="22" t="s">
        <v>1958</v>
      </c>
    </row>
    <row r="3" spans="1:2" x14ac:dyDescent="0.25">
      <c r="A3" s="36">
        <v>2</v>
      </c>
      <c r="B3" s="22" t="s">
        <v>1959</v>
      </c>
    </row>
    <row r="4" spans="1:2" x14ac:dyDescent="0.25">
      <c r="A4" s="36">
        <v>3</v>
      </c>
      <c r="B4" s="22" t="s">
        <v>1960</v>
      </c>
    </row>
    <row r="5" spans="1:2" x14ac:dyDescent="0.25">
      <c r="A5" s="36">
        <v>4</v>
      </c>
      <c r="B5" s="22" t="s">
        <v>1961</v>
      </c>
    </row>
    <row r="6" spans="1:2" x14ac:dyDescent="0.25">
      <c r="A6" s="36">
        <v>5</v>
      </c>
      <c r="B6" s="22" t="s">
        <v>1962</v>
      </c>
    </row>
    <row r="7" spans="1:2" x14ac:dyDescent="0.25">
      <c r="A7" s="36">
        <v>6</v>
      </c>
      <c r="B7" s="22" t="s">
        <v>1963</v>
      </c>
    </row>
    <row r="8" spans="1:2" x14ac:dyDescent="0.25">
      <c r="A8" s="36">
        <v>7</v>
      </c>
      <c r="B8" s="22" t="s">
        <v>1964</v>
      </c>
    </row>
    <row r="9" spans="1:2" x14ac:dyDescent="0.25">
      <c r="A9" s="36">
        <v>8</v>
      </c>
      <c r="B9" s="22" t="s">
        <v>1965</v>
      </c>
    </row>
    <row r="10" spans="1:2" x14ac:dyDescent="0.25">
      <c r="A10" s="36">
        <v>9</v>
      </c>
      <c r="B10" s="22" t="s">
        <v>1966</v>
      </c>
    </row>
    <row r="11" spans="1:2" x14ac:dyDescent="0.25">
      <c r="A11" s="36">
        <v>10</v>
      </c>
      <c r="B11" s="22" t="s">
        <v>1967</v>
      </c>
    </row>
    <row r="12" spans="1:2" x14ac:dyDescent="0.25">
      <c r="A12" s="36">
        <v>11</v>
      </c>
      <c r="B12" s="22" t="s">
        <v>1968</v>
      </c>
    </row>
    <row r="13" spans="1:2" x14ac:dyDescent="0.25">
      <c r="A13" s="36">
        <v>12</v>
      </c>
      <c r="B13" s="22" t="s">
        <v>1969</v>
      </c>
    </row>
    <row r="14" spans="1:2" x14ac:dyDescent="0.25">
      <c r="A14" s="36">
        <v>13</v>
      </c>
      <c r="B14" s="22" t="s">
        <v>1970</v>
      </c>
    </row>
    <row r="15" spans="1:2" x14ac:dyDescent="0.25">
      <c r="A15" s="36">
        <v>14</v>
      </c>
      <c r="B15" s="22" t="s">
        <v>1971</v>
      </c>
    </row>
    <row r="16" spans="1:2" x14ac:dyDescent="0.25">
      <c r="A16" s="36">
        <v>15</v>
      </c>
      <c r="B16" s="22" t="s">
        <v>1972</v>
      </c>
    </row>
    <row r="17" spans="1:2" x14ac:dyDescent="0.25">
      <c r="A17" s="36">
        <v>96</v>
      </c>
      <c r="B17" s="22" t="s">
        <v>1750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B17" sqref="B17"/>
    </sheetView>
  </sheetViews>
  <sheetFormatPr defaultRowHeight="15" x14ac:dyDescent="0.25"/>
  <cols>
    <col min="2" max="2" width="51" customWidth="1"/>
    <col min="4" max="4" width="105.5703125" customWidth="1"/>
  </cols>
  <sheetData>
    <row r="1" spans="1:2" x14ac:dyDescent="0.25">
      <c r="A1" s="12" t="s">
        <v>1915</v>
      </c>
      <c r="B1" s="11" t="s">
        <v>1916</v>
      </c>
    </row>
    <row r="2" spans="1:2" x14ac:dyDescent="0.25">
      <c r="A2" s="8">
        <v>1</v>
      </c>
      <c r="B2" s="22" t="s">
        <v>1973</v>
      </c>
    </row>
    <row r="3" spans="1:2" x14ac:dyDescent="0.25">
      <c r="A3" s="8">
        <v>2</v>
      </c>
      <c r="B3" s="22" t="s">
        <v>1974</v>
      </c>
    </row>
    <row r="4" spans="1:2" x14ac:dyDescent="0.25">
      <c r="A4" s="8">
        <v>3</v>
      </c>
      <c r="B4" s="22" t="s">
        <v>1975</v>
      </c>
    </row>
    <row r="5" spans="1:2" x14ac:dyDescent="0.25">
      <c r="A5" s="8">
        <v>4</v>
      </c>
      <c r="B5" s="22" t="s">
        <v>2393</v>
      </c>
    </row>
    <row r="6" spans="1:2" x14ac:dyDescent="0.25">
      <c r="A6" s="8">
        <v>5</v>
      </c>
      <c r="B6" s="22" t="s">
        <v>2359</v>
      </c>
    </row>
    <row r="7" spans="1:2" x14ac:dyDescent="0.25">
      <c r="A7" s="8">
        <v>6</v>
      </c>
      <c r="B7" s="22" t="s">
        <v>2360</v>
      </c>
    </row>
    <row r="8" spans="1:2" x14ac:dyDescent="0.25">
      <c r="A8" s="8">
        <v>7</v>
      </c>
      <c r="B8" s="22" t="s">
        <v>2361</v>
      </c>
    </row>
    <row r="9" spans="1:2" x14ac:dyDescent="0.25">
      <c r="A9" s="8">
        <v>8</v>
      </c>
      <c r="B9" s="22" t="s">
        <v>2362</v>
      </c>
    </row>
    <row r="10" spans="1:2" x14ac:dyDescent="0.25">
      <c r="A10" s="8">
        <v>9</v>
      </c>
      <c r="B10" s="22" t="s">
        <v>2363</v>
      </c>
    </row>
    <row r="11" spans="1:2" x14ac:dyDescent="0.25">
      <c r="A11" s="8">
        <v>10</v>
      </c>
      <c r="B11" s="22" t="s">
        <v>1976</v>
      </c>
    </row>
    <row r="12" spans="1:2" x14ac:dyDescent="0.25">
      <c r="A12" s="8">
        <v>11</v>
      </c>
      <c r="B12" s="22" t="s">
        <v>2364</v>
      </c>
    </row>
    <row r="13" spans="1:2" x14ac:dyDescent="0.25">
      <c r="A13" s="8">
        <v>12</v>
      </c>
      <c r="B13" s="22" t="s">
        <v>1977</v>
      </c>
    </row>
    <row r="14" spans="1:2" x14ac:dyDescent="0.25">
      <c r="A14" s="8">
        <v>13</v>
      </c>
      <c r="B14" s="22" t="s">
        <v>2365</v>
      </c>
    </row>
    <row r="15" spans="1:2" x14ac:dyDescent="0.25">
      <c r="A15" s="8">
        <v>14</v>
      </c>
      <c r="B15" s="22" t="s">
        <v>2366</v>
      </c>
    </row>
    <row r="16" spans="1:2" x14ac:dyDescent="0.25">
      <c r="A16" s="8">
        <v>15</v>
      </c>
      <c r="B16" s="22" t="s">
        <v>2367</v>
      </c>
    </row>
    <row r="17" spans="1:2" x14ac:dyDescent="0.25">
      <c r="A17">
        <v>96</v>
      </c>
      <c r="B17" s="43" t="s">
        <v>1779</v>
      </c>
    </row>
    <row r="18" spans="1:2" x14ac:dyDescent="0.25">
      <c r="A18">
        <v>99</v>
      </c>
      <c r="B18" s="43" t="s">
        <v>1783</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1" max="1" width="11" customWidth="1"/>
    <col min="2" max="2" width="81.28515625" bestFit="1" customWidth="1"/>
  </cols>
  <sheetData>
    <row r="1" spans="1:2" x14ac:dyDescent="0.25">
      <c r="A1" s="12" t="s">
        <v>1915</v>
      </c>
      <c r="B1" s="11" t="s">
        <v>1916</v>
      </c>
    </row>
    <row r="2" spans="1:2" x14ac:dyDescent="0.25">
      <c r="A2" s="8">
        <v>1</v>
      </c>
      <c r="B2" s="8" t="s">
        <v>1978</v>
      </c>
    </row>
    <row r="3" spans="1:2" x14ac:dyDescent="0.25">
      <c r="A3" s="8">
        <v>2</v>
      </c>
      <c r="B3" s="8" t="s">
        <v>1979</v>
      </c>
    </row>
    <row r="4" spans="1:2" x14ac:dyDescent="0.25">
      <c r="A4" s="8">
        <v>3</v>
      </c>
      <c r="B4" s="8" t="s">
        <v>1980</v>
      </c>
    </row>
    <row r="5" spans="1:2" x14ac:dyDescent="0.25">
      <c r="A5" s="8">
        <v>4</v>
      </c>
      <c r="B5" s="8" t="s">
        <v>1981</v>
      </c>
    </row>
    <row r="6" spans="1:2" x14ac:dyDescent="0.25">
      <c r="A6" s="8">
        <v>5</v>
      </c>
      <c r="B6" s="8" t="s">
        <v>1982</v>
      </c>
    </row>
    <row r="7" spans="1:2" x14ac:dyDescent="0.25">
      <c r="A7" s="8">
        <v>6</v>
      </c>
      <c r="B7" s="8" t="s">
        <v>1983</v>
      </c>
    </row>
    <row r="8" spans="1:2" x14ac:dyDescent="0.25">
      <c r="A8" s="8">
        <v>7</v>
      </c>
      <c r="B8" s="8" t="s">
        <v>1984</v>
      </c>
    </row>
    <row r="9" spans="1:2" x14ac:dyDescent="0.25">
      <c r="A9" s="8">
        <v>8</v>
      </c>
      <c r="B9" s="8" t="s">
        <v>1985</v>
      </c>
    </row>
    <row r="10" spans="1:2" x14ac:dyDescent="0.25">
      <c r="A10" s="8">
        <v>96</v>
      </c>
      <c r="B10" s="8" t="s">
        <v>1779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Codebook</vt:lpstr>
      <vt:lpstr>Other</vt:lpstr>
      <vt:lpstr>vFB30&amp;31&amp;32</vt:lpstr>
      <vt:lpstr>brand name</vt:lpstr>
      <vt:lpstr>vFL9</vt:lpstr>
      <vt:lpstr>vIFI24</vt:lpstr>
      <vt:lpstr>vIFI21</vt:lpstr>
      <vt:lpstr>vDG4</vt:lpstr>
      <vt:lpstr>vDG14</vt:lpstr>
      <vt:lpstr>vDL1</vt:lpstr>
      <vt:lpstr>vDL2</vt:lpstr>
      <vt:lpstr>vDL4&amp;5</vt:lpstr>
      <vt:lpstr>vDL12</vt:lpstr>
      <vt:lpstr>vDL26&amp;27</vt:lpstr>
      <vt:lpstr>vDL28</vt:lpstr>
      <vt:lpstr>vG2P2</vt:lpstr>
      <vt:lpstr>vMT9</vt:lpstr>
      <vt:lpstr>vMT13</vt:lpstr>
      <vt:lpstr>vFF2A</vt:lpstr>
      <vt:lpstr>vFF3</vt:lpstr>
      <vt:lpstr>FF14&amp;16</vt:lpstr>
      <vt:lpstr>vMM12</vt:lpstr>
      <vt:lpstr>vMM13</vt:lpstr>
      <vt:lpstr>vMM14</vt:lpstr>
      <vt:lpstr>MM15&amp;IFI</vt:lpstr>
      <vt:lpstr>vMM18&amp;19</vt:lpstr>
      <vt:lpstr>vMM20</vt:lpstr>
      <vt:lpstr>MM22</vt:lpstr>
      <vt:lpstr>vMM34</vt:lpstr>
      <vt:lpstr>vIFI16</vt:lpstr>
      <vt:lpstr>vFL4</vt:lpstr>
      <vt:lpstr>vFL11</vt:lpstr>
      <vt:lpstr>vfl10</vt:lpstr>
      <vt:lpstr>vFB19</vt:lpstr>
      <vt:lpstr>vFB20&amp;21</vt:lpstr>
      <vt:lpstr>vFB24&amp;25</vt:lpstr>
      <vt:lpstr>LN2</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 Wei</dc:creator>
  <cp:lastModifiedBy>Jiayin He</cp:lastModifiedBy>
  <cp:revision/>
  <dcterms:created xsi:type="dcterms:W3CDTF">2014-06-04T14:14:28Z</dcterms:created>
  <dcterms:modified xsi:type="dcterms:W3CDTF">2017-03-06T20:54:52Z</dcterms:modified>
</cp:coreProperties>
</file>