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samuelschueth/Kantar/Financial Inclusion Insights - Survey waves/Indonesia 2018-2019/Codebook/"/>
    </mc:Choice>
  </mc:AlternateContent>
  <xr:revisionPtr revIDLastSave="5" documentId="11_3C86A6A4622E2112034AB4740D941CD90C6351D2" xr6:coauthVersionLast="45" xr6:coauthVersionMax="45" xr10:uidLastSave="{4C7019F6-3D4A-414F-89FF-AFAC9A8453A7}"/>
  <bookViews>
    <workbookView xWindow="0" yWindow="460" windowWidth="28560" windowHeight="8560" xr2:uid="{00000000-000D-0000-FFFF-FFFF00000000}"/>
  </bookViews>
  <sheets>
    <sheet name="Codebook" sheetId="1" r:id="rId1"/>
    <sheet name="OJK" sheetId="6" r:id="rId2"/>
    <sheet name="vFM1" sheetId="3" r:id="rId3"/>
    <sheet name="REF" sheetId="2" r:id="rId4"/>
    <sheet name="Other" sheetId="10" r:id="rId5"/>
    <sheet name="vFM2" sheetId="4" r:id="rId6"/>
    <sheet name="Indonesia" sheetId="7" r:id="rId7"/>
    <sheet name="brand name" sheetId="8" r:id="rId8"/>
    <sheet name="Institution" sheetId="9" r:id="rId9"/>
    <sheet name="Activity" sheetId="11" r:id="rId10"/>
    <sheet name="vDG4" sheetId="12" r:id="rId11"/>
    <sheet name="vDL1" sheetId="13" r:id="rId12"/>
    <sheet name="vDL2" sheetId="14" r:id="rId13"/>
    <sheet name="Sheet1" sheetId="15" r:id="rId14"/>
  </sheets>
  <externalReferences>
    <externalReference r:id="rId15"/>
  </externalReferences>
  <definedNames>
    <definedName name="_xlnm._FilterDatabase" localSheetId="6" hidden="1">Indonesia!$A$3:$G$628</definedName>
    <definedName name="_Toc483260299" localSheetId="6">Indonesia!#REF!</definedName>
    <definedName name="_Toc483260300" localSheetId="6">Indonesia!$A$65</definedName>
    <definedName name="_Toc483260301" localSheetId="6">Indonesia!$A$73</definedName>
    <definedName name="_Toc483260303" localSheetId="6">Indonesia!$A$93</definedName>
    <definedName name="_Toc483260308" localSheetId="6">Indonesia!#REF!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89" i="1" l="1"/>
  <c r="B268" i="1"/>
  <c r="B266" i="1"/>
  <c r="B247" i="1" l="1"/>
  <c r="B307" i="1" l="1"/>
  <c r="B156" i="1"/>
  <c r="B417" i="1"/>
  <c r="G417" i="1"/>
  <c r="B251" i="1"/>
  <c r="B252" i="1"/>
  <c r="G252" i="1"/>
  <c r="G251" i="1"/>
  <c r="B354" i="1"/>
  <c r="B355" i="1"/>
  <c r="B356" i="1"/>
  <c r="B357" i="1"/>
  <c r="B358" i="1"/>
  <c r="B359" i="1"/>
  <c r="B360" i="1"/>
  <c r="B361" i="1"/>
  <c r="B362" i="1"/>
  <c r="B353" i="1"/>
  <c r="B421" i="1" l="1"/>
  <c r="B422" i="1"/>
  <c r="B420" i="1"/>
  <c r="B375" i="1"/>
  <c r="G375" i="1"/>
  <c r="B258" i="1"/>
  <c r="B122" i="1"/>
  <c r="B10" i="1"/>
  <c r="G10" i="1"/>
  <c r="B329" i="1" l="1"/>
  <c r="B292" i="1"/>
  <c r="B293" i="1"/>
  <c r="B294" i="1"/>
  <c r="B295" i="1"/>
  <c r="B296" i="1"/>
  <c r="B297" i="1"/>
  <c r="B298" i="1"/>
  <c r="G296" i="1"/>
  <c r="G297" i="1"/>
  <c r="B516" i="1" l="1"/>
  <c r="B515" i="1"/>
  <c r="B514" i="1"/>
  <c r="B511" i="1"/>
  <c r="B513" i="1"/>
  <c r="B512" i="1"/>
  <c r="G516" i="1"/>
  <c r="G515" i="1"/>
  <c r="G514" i="1"/>
  <c r="G513" i="1"/>
  <c r="G512" i="1"/>
  <c r="G511" i="1"/>
  <c r="G509" i="1"/>
  <c r="G510" i="1"/>
  <c r="B510" i="1"/>
  <c r="B509" i="1"/>
  <c r="G485" i="1"/>
  <c r="G486" i="1"/>
  <c r="G487" i="1"/>
  <c r="G488" i="1"/>
  <c r="B485" i="1"/>
  <c r="B486" i="1"/>
  <c r="B487" i="1"/>
  <c r="B488" i="1"/>
  <c r="B478" i="1"/>
  <c r="B330" i="1"/>
  <c r="G330" i="1"/>
  <c r="B374" i="1" l="1"/>
  <c r="B372" i="1"/>
  <c r="B399" i="1"/>
  <c r="G399" i="1"/>
  <c r="B395" i="1"/>
  <c r="G395" i="1"/>
  <c r="B314" i="1" l="1"/>
  <c r="B313" i="1"/>
  <c r="B312" i="1"/>
  <c r="B311" i="1"/>
  <c r="B310" i="1"/>
  <c r="B328" i="1"/>
  <c r="B327" i="1"/>
  <c r="B326" i="1"/>
  <c r="B416" i="1" l="1"/>
  <c r="B231" i="1"/>
  <c r="B230" i="1"/>
  <c r="B229" i="1"/>
  <c r="B423" i="1"/>
  <c r="G423" i="1"/>
  <c r="G416" i="1"/>
  <c r="B414" i="1"/>
  <c r="B415" i="1"/>
  <c r="G415" i="1"/>
  <c r="G230" i="1"/>
  <c r="G231" i="1"/>
  <c r="G229" i="1"/>
  <c r="B315" i="1" l="1"/>
  <c r="G315" i="1"/>
  <c r="G314" i="1"/>
  <c r="G313" i="1"/>
  <c r="G312" i="1"/>
  <c r="G311" i="1"/>
  <c r="G310" i="1"/>
  <c r="B291" i="1"/>
  <c r="G291" i="1"/>
  <c r="B287" i="1"/>
  <c r="G287" i="1"/>
  <c r="B283" i="1"/>
  <c r="B284" i="1"/>
  <c r="B285" i="1"/>
  <c r="B282" i="1"/>
  <c r="B281" i="1"/>
  <c r="B280" i="1"/>
  <c r="G285" i="1"/>
  <c r="G281" i="1"/>
  <c r="B318" i="1" l="1"/>
  <c r="G318" i="1"/>
  <c r="B317" i="1"/>
  <c r="G317" i="1"/>
  <c r="B316" i="1"/>
  <c r="G316" i="1"/>
  <c r="B481" i="1"/>
  <c r="B482" i="1"/>
  <c r="B483" i="1"/>
  <c r="B484" i="1"/>
  <c r="G5" i="1"/>
  <c r="G326" i="1"/>
  <c r="B369" i="1"/>
  <c r="B368" i="1"/>
  <c r="B244" i="1"/>
  <c r="B243" i="1"/>
  <c r="B242" i="1"/>
  <c r="B241" i="1"/>
  <c r="B240" i="1"/>
  <c r="B239" i="1"/>
  <c r="B238" i="1"/>
  <c r="B237" i="1"/>
  <c r="B236" i="1"/>
  <c r="B235" i="1"/>
  <c r="B234" i="1"/>
  <c r="B233" i="1"/>
  <c r="B256" i="1"/>
  <c r="B257" i="1"/>
  <c r="B254" i="1"/>
  <c r="B255" i="1"/>
  <c r="B253" i="1"/>
  <c r="G244" i="1"/>
  <c r="G243" i="1"/>
  <c r="G242" i="1"/>
  <c r="G241" i="1"/>
  <c r="G240" i="1"/>
  <c r="G239" i="1"/>
  <c r="G238" i="1"/>
  <c r="G237" i="1"/>
  <c r="G236" i="1"/>
  <c r="G235" i="1"/>
  <c r="G234" i="1"/>
  <c r="G233" i="1"/>
  <c r="B213" i="1"/>
  <c r="B376" i="1"/>
  <c r="B407" i="1"/>
  <c r="B203" i="1"/>
  <c r="B378" i="1"/>
  <c r="B495" i="1"/>
  <c r="G14" i="1"/>
  <c r="G15" i="1"/>
  <c r="G16" i="1"/>
  <c r="G17" i="1"/>
  <c r="G18" i="1"/>
  <c r="G19" i="1"/>
  <c r="G20" i="1"/>
  <c r="B351" i="1"/>
  <c r="G124" i="1"/>
  <c r="G123" i="1"/>
  <c r="B157" i="1"/>
  <c r="B262" i="1"/>
  <c r="B261" i="1"/>
  <c r="B260" i="1"/>
  <c r="B259" i="1"/>
  <c r="B171" i="1"/>
  <c r="B123" i="1"/>
  <c r="B124" i="1"/>
  <c r="G449" i="1"/>
  <c r="B449" i="1"/>
  <c r="G448" i="1"/>
  <c r="B448" i="1"/>
  <c r="G447" i="1"/>
  <c r="B447" i="1"/>
  <c r="G446" i="1"/>
  <c r="B446" i="1"/>
  <c r="G445" i="1"/>
  <c r="B445" i="1"/>
  <c r="G444" i="1"/>
  <c r="B444" i="1"/>
  <c r="G443" i="1"/>
  <c r="B443" i="1"/>
  <c r="G442" i="1"/>
  <c r="B442" i="1"/>
  <c r="B508" i="1"/>
  <c r="B507" i="1"/>
  <c r="B506" i="1"/>
  <c r="B505" i="1"/>
  <c r="B504" i="1"/>
  <c r="B503" i="1"/>
  <c r="B502" i="1"/>
  <c r="B501" i="1"/>
  <c r="B500" i="1"/>
  <c r="B499" i="1"/>
  <c r="B498" i="1"/>
  <c r="B497" i="1"/>
  <c r="B496" i="1"/>
  <c r="B479" i="1"/>
  <c r="B480" i="1"/>
  <c r="B524" i="1"/>
  <c r="B494" i="1"/>
  <c r="B493" i="1"/>
  <c r="B492" i="1"/>
  <c r="B491" i="1"/>
  <c r="B490" i="1"/>
  <c r="B489" i="1"/>
  <c r="B477" i="1"/>
  <c r="B476" i="1"/>
  <c r="B475" i="1"/>
  <c r="B472" i="1"/>
  <c r="B471" i="1"/>
  <c r="B470" i="1"/>
  <c r="B469" i="1"/>
  <c r="B468" i="1"/>
  <c r="B467" i="1"/>
  <c r="B466" i="1"/>
  <c r="B465" i="1"/>
  <c r="B464" i="1"/>
  <c r="B463" i="1"/>
  <c r="B462" i="1"/>
  <c r="B459" i="1"/>
  <c r="B458" i="1"/>
  <c r="B457" i="1"/>
  <c r="B456" i="1"/>
  <c r="B455" i="1"/>
  <c r="B454" i="1"/>
  <c r="B453" i="1"/>
  <c r="B452" i="1"/>
  <c r="B325" i="1"/>
  <c r="B324" i="1"/>
  <c r="B323" i="1"/>
  <c r="B322" i="1"/>
  <c r="B321" i="1"/>
  <c r="B320" i="1"/>
  <c r="B319" i="1"/>
  <c r="B309" i="1"/>
  <c r="B305" i="1"/>
  <c r="B304" i="1"/>
  <c r="B303" i="1"/>
  <c r="B302" i="1"/>
  <c r="B301" i="1"/>
  <c r="B300" i="1"/>
  <c r="B299" i="1"/>
  <c r="B290" i="1"/>
  <c r="B289" i="1"/>
  <c r="B288" i="1"/>
  <c r="B286" i="1"/>
  <c r="B279" i="1"/>
  <c r="B278" i="1"/>
  <c r="B263" i="1"/>
  <c r="B425" i="1"/>
  <c r="B424" i="1"/>
  <c r="B419" i="1"/>
  <c r="B418" i="1"/>
  <c r="B377" i="1"/>
  <c r="B409" i="1"/>
  <c r="B408" i="1"/>
  <c r="B402" i="1"/>
  <c r="B401" i="1"/>
  <c r="B398" i="1"/>
  <c r="B394" i="1"/>
  <c r="B393" i="1"/>
  <c r="B387" i="1"/>
  <c r="B386" i="1"/>
  <c r="B385" i="1"/>
  <c r="B276" i="1"/>
  <c r="B275" i="1"/>
  <c r="B274" i="1"/>
  <c r="B273" i="1"/>
  <c r="B210" i="1"/>
  <c r="B209" i="1"/>
  <c r="B208" i="1"/>
  <c r="B207" i="1"/>
  <c r="B206" i="1"/>
  <c r="B205" i="1"/>
  <c r="B204" i="1"/>
  <c r="B202" i="1"/>
  <c r="B201" i="1"/>
  <c r="B200" i="1"/>
  <c r="B199" i="1"/>
  <c r="B412" i="1"/>
  <c r="B410" i="1"/>
  <c r="B370" i="1"/>
  <c r="B406" i="1"/>
  <c r="B405" i="1"/>
  <c r="B404" i="1"/>
  <c r="B403" i="1"/>
  <c r="B400" i="1"/>
  <c r="B397" i="1"/>
  <c r="B392" i="1"/>
  <c r="B391" i="1"/>
  <c r="B390" i="1"/>
  <c r="B388" i="1"/>
  <c r="B384" i="1"/>
  <c r="B382" i="1"/>
  <c r="B380" i="1"/>
  <c r="B367" i="1"/>
  <c r="B365" i="1"/>
  <c r="B363" i="1"/>
  <c r="B272" i="1"/>
  <c r="B270" i="1"/>
  <c r="B264" i="1"/>
  <c r="B352" i="1"/>
  <c r="B350" i="1"/>
  <c r="B348" i="1"/>
  <c r="B346" i="1"/>
  <c r="B344" i="1"/>
  <c r="B342" i="1"/>
  <c r="B340" i="1"/>
  <c r="B338" i="1"/>
  <c r="B336" i="1"/>
  <c r="B334" i="1"/>
  <c r="B332" i="1"/>
  <c r="B151" i="1"/>
  <c r="B150" i="1"/>
  <c r="B149" i="1"/>
  <c r="B147" i="1"/>
  <c r="B145" i="1"/>
  <c r="B143" i="1"/>
  <c r="B141" i="1"/>
  <c r="B139" i="1"/>
  <c r="B137" i="1"/>
  <c r="B135" i="1"/>
  <c r="B133" i="1"/>
  <c r="B131" i="1"/>
  <c r="B129" i="1"/>
  <c r="B127" i="1"/>
  <c r="B117" i="1"/>
  <c r="B116" i="1"/>
  <c r="B115" i="1"/>
  <c r="B114" i="1"/>
  <c r="B113" i="1"/>
  <c r="B112" i="1"/>
  <c r="B111" i="1"/>
  <c r="B110" i="1"/>
  <c r="B109" i="1"/>
  <c r="B108" i="1"/>
  <c r="B107" i="1"/>
  <c r="B105" i="1"/>
  <c r="B104" i="1"/>
  <c r="B103" i="1"/>
  <c r="B89" i="1"/>
  <c r="B86" i="1"/>
  <c r="B83" i="1"/>
  <c r="B82" i="1"/>
  <c r="B81" i="1"/>
  <c r="B80" i="1"/>
  <c r="B79" i="1"/>
  <c r="B78" i="1"/>
  <c r="B77" i="1"/>
  <c r="B76" i="1"/>
  <c r="B75" i="1"/>
  <c r="B74" i="1"/>
  <c r="B73" i="1"/>
  <c r="B70" i="1"/>
  <c r="B51" i="1"/>
  <c r="B48" i="1"/>
  <c r="B45" i="1"/>
  <c r="B42" i="1"/>
  <c r="B39" i="1"/>
  <c r="B36" i="1"/>
  <c r="B33" i="1"/>
  <c r="B30" i="1"/>
  <c r="B27" i="1"/>
  <c r="B24" i="1"/>
  <c r="B308" i="1"/>
  <c r="B306" i="1"/>
  <c r="B250" i="1"/>
  <c r="B249" i="1"/>
  <c r="B248" i="1"/>
  <c r="B245" i="1"/>
  <c r="B226" i="1"/>
  <c r="B227" i="1"/>
  <c r="B228" i="1"/>
  <c r="B225" i="1"/>
  <c r="B224" i="1"/>
  <c r="B223" i="1"/>
  <c r="B221" i="1"/>
  <c r="B222" i="1"/>
  <c r="B220" i="1"/>
  <c r="B219" i="1"/>
  <c r="B217" i="1"/>
  <c r="B218" i="1"/>
  <c r="B216" i="1"/>
  <c r="B215" i="1"/>
  <c r="B214" i="1"/>
  <c r="B212" i="1"/>
  <c r="B211" i="1"/>
  <c r="G122" i="1"/>
  <c r="B155" i="1"/>
  <c r="B172" i="1"/>
  <c r="B173" i="1"/>
  <c r="B174" i="1"/>
  <c r="B175" i="1"/>
  <c r="B176" i="1"/>
  <c r="B177" i="1"/>
  <c r="B178" i="1"/>
  <c r="B179" i="1"/>
  <c r="B180" i="1"/>
  <c r="B181" i="1"/>
  <c r="B182" i="1"/>
  <c r="B183" i="1"/>
  <c r="B158" i="1"/>
  <c r="B159" i="1"/>
  <c r="B160" i="1"/>
  <c r="B161" i="1"/>
  <c r="B162" i="1"/>
  <c r="B163" i="1"/>
  <c r="B164" i="1"/>
  <c r="B165" i="1"/>
  <c r="B166" i="1"/>
  <c r="B167" i="1"/>
  <c r="B168" i="1"/>
  <c r="B169" i="1"/>
  <c r="B198" i="1"/>
  <c r="B439" i="1"/>
  <c r="B184" i="1"/>
  <c r="B170" i="1"/>
  <c r="B121" i="1"/>
  <c r="B120" i="1"/>
  <c r="G121" i="1"/>
  <c r="G120" i="1"/>
  <c r="B529" i="1"/>
  <c r="B528" i="1"/>
  <c r="B527" i="1"/>
  <c r="B526" i="1"/>
  <c r="B525" i="1"/>
  <c r="B521" i="1"/>
  <c r="B520" i="1"/>
  <c r="B438" i="1"/>
  <c r="B437" i="1"/>
  <c r="B436" i="1"/>
  <c r="B435" i="1"/>
  <c r="B434" i="1"/>
  <c r="B433" i="1"/>
  <c r="B432" i="1"/>
  <c r="B431" i="1"/>
  <c r="B430" i="1"/>
  <c r="B429" i="1"/>
  <c r="B428" i="1"/>
  <c r="B427" i="1"/>
  <c r="B426" i="1"/>
  <c r="B197" i="1"/>
  <c r="B196" i="1"/>
  <c r="B195" i="1"/>
  <c r="B194" i="1"/>
  <c r="B193" i="1"/>
  <c r="B192" i="1"/>
  <c r="B191" i="1"/>
  <c r="B190" i="1"/>
  <c r="B189" i="1"/>
  <c r="B188" i="1"/>
  <c r="B187" i="1"/>
  <c r="B186" i="1"/>
  <c r="B185" i="1"/>
  <c r="B154" i="1"/>
  <c r="B153" i="1"/>
  <c r="B152" i="1"/>
  <c r="B66" i="1"/>
  <c r="B65" i="1"/>
  <c r="B64" i="1"/>
  <c r="B63" i="1"/>
  <c r="B62" i="1"/>
  <c r="B61" i="1"/>
  <c r="B52" i="1"/>
  <c r="B49" i="1"/>
  <c r="B46" i="1"/>
  <c r="B43" i="1"/>
  <c r="B40" i="1"/>
  <c r="B37" i="1"/>
  <c r="B34" i="1"/>
  <c r="B31" i="1"/>
  <c r="B28" i="1"/>
  <c r="B25" i="1"/>
  <c r="G352" i="1"/>
  <c r="G351" i="1"/>
  <c r="G151" i="1"/>
  <c r="F3" i="15"/>
  <c r="F4" i="15"/>
  <c r="F5" i="15"/>
  <c r="F6" i="15"/>
  <c r="F7" i="15"/>
  <c r="F8" i="15"/>
  <c r="F9" i="15"/>
  <c r="F10" i="15"/>
  <c r="F11" i="15"/>
  <c r="F12" i="15"/>
  <c r="F13" i="15"/>
  <c r="F14" i="15"/>
  <c r="F15" i="15"/>
  <c r="F17" i="15"/>
  <c r="F18" i="15"/>
  <c r="F19" i="15"/>
  <c r="F20" i="15"/>
  <c r="F22" i="15"/>
  <c r="F23" i="15"/>
  <c r="F24" i="15"/>
  <c r="F26" i="15"/>
  <c r="F27" i="15"/>
  <c r="F28" i="15"/>
  <c r="F30" i="15"/>
  <c r="F31" i="15"/>
  <c r="F32" i="15"/>
  <c r="F33" i="15"/>
  <c r="F34" i="15"/>
  <c r="F35" i="15"/>
  <c r="F36" i="15"/>
  <c r="F37" i="15"/>
  <c r="F38" i="15"/>
  <c r="F39" i="15"/>
  <c r="F40" i="15"/>
  <c r="F41" i="15"/>
  <c r="F42" i="15"/>
  <c r="F44" i="15"/>
  <c r="F45" i="15"/>
  <c r="F46" i="15"/>
  <c r="F47" i="15"/>
  <c r="F2"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1"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352" i="15"/>
  <c r="B353" i="15"/>
  <c r="B354" i="15"/>
  <c r="B355" i="15"/>
  <c r="B356" i="15"/>
  <c r="B357" i="15"/>
  <c r="B358" i="15"/>
  <c r="B359" i="15"/>
  <c r="B360" i="15"/>
  <c r="B361" i="15"/>
  <c r="B362" i="15"/>
  <c r="B363" i="15"/>
  <c r="B364" i="15"/>
  <c r="B365" i="15"/>
  <c r="B367" i="15"/>
  <c r="B368" i="15"/>
  <c r="B369" i="15"/>
  <c r="B370" i="15"/>
  <c r="B371" i="15"/>
  <c r="B372" i="15"/>
  <c r="B373" i="15"/>
  <c r="B374" i="15"/>
  <c r="B375" i="15"/>
  <c r="B376" i="15"/>
  <c r="B377" i="15"/>
  <c r="B378" i="15"/>
  <c r="B379" i="15"/>
  <c r="B380" i="15"/>
  <c r="B2" i="15"/>
  <c r="G475" i="1"/>
  <c r="G476" i="1"/>
  <c r="G477" i="1"/>
  <c r="G478" i="1"/>
  <c r="G479" i="1"/>
  <c r="G480" i="1"/>
  <c r="G481" i="1"/>
  <c r="G482" i="1"/>
  <c r="G483" i="1"/>
  <c r="G484" i="1"/>
  <c r="G489" i="1"/>
  <c r="G490" i="1"/>
  <c r="G491" i="1"/>
  <c r="G492" i="1"/>
  <c r="G493" i="1"/>
  <c r="G494" i="1"/>
  <c r="G495" i="1"/>
  <c r="G496" i="1"/>
  <c r="G497" i="1"/>
  <c r="G498" i="1"/>
  <c r="G499" i="1"/>
  <c r="G500" i="1"/>
  <c r="G501" i="1"/>
  <c r="G502" i="1"/>
  <c r="G503" i="1"/>
  <c r="G504" i="1"/>
  <c r="G505" i="1"/>
  <c r="G506" i="1"/>
  <c r="G507" i="1"/>
  <c r="G508" i="1"/>
  <c r="G519" i="1"/>
  <c r="G520" i="1"/>
  <c r="G521" i="1"/>
  <c r="G524" i="1"/>
  <c r="G525" i="1"/>
  <c r="G526" i="1"/>
  <c r="G527" i="1"/>
  <c r="G528" i="1"/>
  <c r="G529" i="1"/>
  <c r="G452" i="1"/>
  <c r="G453" i="1"/>
  <c r="G454" i="1"/>
  <c r="G455" i="1"/>
  <c r="G456" i="1"/>
  <c r="G457" i="1"/>
  <c r="G458" i="1"/>
  <c r="G459" i="1"/>
  <c r="G462" i="1"/>
  <c r="G463" i="1"/>
  <c r="G464" i="1"/>
  <c r="G465" i="1"/>
  <c r="G466" i="1"/>
  <c r="G467" i="1"/>
  <c r="G468" i="1"/>
  <c r="G469" i="1"/>
  <c r="G470" i="1"/>
  <c r="G471" i="1"/>
  <c r="G472" i="1"/>
  <c r="G117" i="1"/>
  <c r="G116" i="1"/>
  <c r="G115" i="1"/>
  <c r="G114" i="1"/>
  <c r="G113" i="1"/>
  <c r="G112" i="1"/>
  <c r="G111" i="1"/>
  <c r="G110" i="1"/>
  <c r="G109" i="1"/>
  <c r="G108" i="1"/>
  <c r="G107" i="1"/>
  <c r="G105" i="1"/>
  <c r="G104" i="1"/>
  <c r="G103" i="1"/>
  <c r="G102" i="1"/>
  <c r="G127" i="1"/>
  <c r="A128" i="1"/>
  <c r="B128" i="1" s="1"/>
  <c r="G129" i="1"/>
  <c r="A130" i="1"/>
  <c r="B130" i="1" s="1"/>
  <c r="G131" i="1"/>
  <c r="A132" i="1"/>
  <c r="B132" i="1" s="1"/>
  <c r="G133" i="1"/>
  <c r="A134" i="1"/>
  <c r="G134" i="1" s="1"/>
  <c r="G135" i="1"/>
  <c r="A136" i="1"/>
  <c r="B136" i="1" s="1"/>
  <c r="G137" i="1"/>
  <c r="A138" i="1"/>
  <c r="B138" i="1" s="1"/>
  <c r="G139" i="1"/>
  <c r="A140" i="1"/>
  <c r="B140" i="1" s="1"/>
  <c r="G141" i="1"/>
  <c r="G99" i="1"/>
  <c r="G98" i="1"/>
  <c r="G97" i="1"/>
  <c r="G96" i="1"/>
  <c r="G95" i="1"/>
  <c r="G94" i="1"/>
  <c r="G93" i="1"/>
  <c r="G92" i="1"/>
  <c r="G91" i="1"/>
  <c r="G90" i="1"/>
  <c r="G89" i="1"/>
  <c r="G86" i="1"/>
  <c r="G85" i="1"/>
  <c r="G84" i="1"/>
  <c r="B84" i="1"/>
  <c r="G83" i="1"/>
  <c r="G82" i="1"/>
  <c r="G81" i="1"/>
  <c r="G80" i="1"/>
  <c r="G79" i="1"/>
  <c r="G78" i="1"/>
  <c r="G77" i="1"/>
  <c r="G76" i="1"/>
  <c r="G75" i="1"/>
  <c r="G74" i="1"/>
  <c r="G73" i="1"/>
  <c r="G72" i="1"/>
  <c r="G71" i="1"/>
  <c r="G70" i="1"/>
  <c r="G69" i="1"/>
  <c r="G66" i="1"/>
  <c r="G65" i="1"/>
  <c r="G64" i="1"/>
  <c r="G63" i="1"/>
  <c r="G62" i="1"/>
  <c r="G61" i="1"/>
  <c r="G58" i="1"/>
  <c r="G57" i="1"/>
  <c r="G56" i="1"/>
  <c r="G55"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13" i="1"/>
  <c r="G12" i="1"/>
  <c r="G11" i="1"/>
  <c r="G9" i="1"/>
  <c r="G8" i="1"/>
  <c r="G7" i="1"/>
  <c r="G6" i="1"/>
  <c r="G4" i="1"/>
  <c r="G628" i="7"/>
  <c r="B628" i="7"/>
  <c r="G627" i="7"/>
  <c r="B627" i="7"/>
  <c r="G626" i="7"/>
  <c r="B626" i="7"/>
  <c r="G625" i="7"/>
  <c r="B625" i="7"/>
  <c r="G624" i="7"/>
  <c r="B624" i="7"/>
  <c r="G623" i="7"/>
  <c r="B623" i="7"/>
  <c r="G622" i="7"/>
  <c r="B622" i="7"/>
  <c r="G621" i="7"/>
  <c r="B621" i="7"/>
  <c r="G620" i="7"/>
  <c r="B620" i="7"/>
  <c r="G617" i="7"/>
  <c r="B617" i="7"/>
  <c r="G616" i="7"/>
  <c r="B616" i="7"/>
  <c r="G615" i="7"/>
  <c r="B615" i="7"/>
  <c r="G614" i="7"/>
  <c r="B614" i="7"/>
  <c r="G613" i="7"/>
  <c r="B613" i="7"/>
  <c r="G612" i="7"/>
  <c r="B612" i="7"/>
  <c r="G611" i="7"/>
  <c r="B611" i="7"/>
  <c r="G610" i="7"/>
  <c r="B610" i="7"/>
  <c r="G609" i="7"/>
  <c r="B609" i="7"/>
  <c r="G608" i="7"/>
  <c r="B608" i="7"/>
  <c r="G607" i="7"/>
  <c r="B607" i="7"/>
  <c r="G606" i="7"/>
  <c r="B606" i="7"/>
  <c r="G605" i="7"/>
  <c r="B605" i="7"/>
  <c r="G604" i="7"/>
  <c r="B604" i="7"/>
  <c r="G603" i="7"/>
  <c r="B603" i="7"/>
  <c r="G602" i="7"/>
  <c r="B602" i="7"/>
  <c r="G601" i="7"/>
  <c r="B601" i="7"/>
  <c r="G600" i="7"/>
  <c r="B600" i="7"/>
  <c r="G599" i="7"/>
  <c r="B599" i="7"/>
  <c r="G598" i="7"/>
  <c r="B598" i="7"/>
  <c r="G597" i="7"/>
  <c r="B597" i="7"/>
  <c r="G596" i="7"/>
  <c r="B596" i="7"/>
  <c r="G595" i="7"/>
  <c r="B595" i="7"/>
  <c r="G594" i="7"/>
  <c r="B594" i="7"/>
  <c r="G593" i="7"/>
  <c r="B593" i="7"/>
  <c r="G592" i="7"/>
  <c r="B592" i="7"/>
  <c r="G591" i="7"/>
  <c r="B591" i="7"/>
  <c r="G590" i="7"/>
  <c r="B590" i="7"/>
  <c r="G589" i="7"/>
  <c r="B589" i="7"/>
  <c r="G588" i="7"/>
  <c r="B588" i="7"/>
  <c r="G587" i="7"/>
  <c r="B587" i="7"/>
  <c r="G586" i="7"/>
  <c r="B586" i="7"/>
  <c r="G585" i="7"/>
  <c r="B585" i="7"/>
  <c r="G584" i="7"/>
  <c r="B584" i="7"/>
  <c r="G583" i="7"/>
  <c r="B583" i="7"/>
  <c r="G580" i="7"/>
  <c r="B580" i="7"/>
  <c r="G579" i="7"/>
  <c r="B579" i="7"/>
  <c r="G578" i="7"/>
  <c r="B578" i="7"/>
  <c r="G577" i="7"/>
  <c r="B577" i="7"/>
  <c r="G576" i="7"/>
  <c r="B576" i="7"/>
  <c r="G575" i="7"/>
  <c r="B575" i="7"/>
  <c r="G574" i="7"/>
  <c r="B574" i="7"/>
  <c r="G573" i="7"/>
  <c r="B573" i="7"/>
  <c r="G572" i="7"/>
  <c r="B572" i="7"/>
  <c r="G571" i="7"/>
  <c r="B571" i="7"/>
  <c r="G570" i="7"/>
  <c r="B570" i="7"/>
  <c r="G569" i="7"/>
  <c r="B569" i="7"/>
  <c r="G568" i="7"/>
  <c r="B568" i="7"/>
  <c r="G567" i="7"/>
  <c r="B567" i="7"/>
  <c r="G566" i="7"/>
  <c r="B566" i="7"/>
  <c r="G565" i="7"/>
  <c r="B565" i="7"/>
  <c r="G564" i="7"/>
  <c r="B564" i="7"/>
  <c r="G563" i="7"/>
  <c r="B563" i="7"/>
  <c r="G562" i="7"/>
  <c r="B562" i="7"/>
  <c r="G561" i="7"/>
  <c r="B561" i="7"/>
  <c r="G560" i="7"/>
  <c r="B560" i="7"/>
  <c r="G559" i="7"/>
  <c r="B559" i="7"/>
  <c r="G558" i="7"/>
  <c r="B558" i="7"/>
  <c r="G557" i="7"/>
  <c r="B557" i="7"/>
  <c r="G556" i="7"/>
  <c r="B556" i="7"/>
  <c r="G555" i="7"/>
  <c r="B555" i="7"/>
  <c r="G554" i="7"/>
  <c r="B554" i="7"/>
  <c r="G553" i="7"/>
  <c r="B553" i="7"/>
  <c r="G552" i="7"/>
  <c r="B552" i="7"/>
  <c r="G551" i="7"/>
  <c r="B551" i="7"/>
  <c r="G550" i="7"/>
  <c r="B550" i="7"/>
  <c r="G549" i="7"/>
  <c r="B549" i="7"/>
  <c r="G548" i="7"/>
  <c r="B548" i="7"/>
  <c r="G547" i="7"/>
  <c r="B547" i="7"/>
  <c r="G546" i="7"/>
  <c r="B546" i="7"/>
  <c r="G543" i="7"/>
  <c r="B543" i="7"/>
  <c r="G542" i="7"/>
  <c r="B542" i="7"/>
  <c r="G541" i="7"/>
  <c r="B541" i="7"/>
  <c r="G540" i="7"/>
  <c r="B540" i="7"/>
  <c r="G539" i="7"/>
  <c r="B539" i="7"/>
  <c r="G538" i="7"/>
  <c r="B538" i="7"/>
  <c r="G537" i="7"/>
  <c r="B537" i="7"/>
  <c r="G536" i="7"/>
  <c r="B536" i="7"/>
  <c r="G535" i="7"/>
  <c r="B535" i="7"/>
  <c r="G534" i="7"/>
  <c r="B534" i="7"/>
  <c r="G533" i="7"/>
  <c r="B533" i="7"/>
  <c r="G532" i="7"/>
  <c r="B532" i="7"/>
  <c r="G531" i="7"/>
  <c r="B531" i="7"/>
  <c r="G530" i="7"/>
  <c r="B530" i="7"/>
  <c r="G529" i="7"/>
  <c r="B529" i="7"/>
  <c r="G528" i="7"/>
  <c r="B528" i="7"/>
  <c r="G527" i="7"/>
  <c r="B527" i="7"/>
  <c r="G526" i="7"/>
  <c r="B526" i="7"/>
  <c r="G525" i="7"/>
  <c r="B525" i="7"/>
  <c r="G524" i="7"/>
  <c r="B524" i="7"/>
  <c r="G523" i="7"/>
  <c r="B523" i="7"/>
  <c r="G522" i="7"/>
  <c r="B522" i="7"/>
  <c r="G521" i="7"/>
  <c r="B521" i="7"/>
  <c r="G520" i="7"/>
  <c r="B520" i="7"/>
  <c r="G519" i="7"/>
  <c r="B519" i="7"/>
  <c r="G516" i="7"/>
  <c r="B516" i="7"/>
  <c r="G515" i="7"/>
  <c r="B515" i="7"/>
  <c r="G514" i="7"/>
  <c r="B514" i="7"/>
  <c r="G513" i="7"/>
  <c r="B513" i="7"/>
  <c r="G512" i="7"/>
  <c r="B512" i="7"/>
  <c r="G511" i="7"/>
  <c r="B511" i="7"/>
  <c r="G510" i="7"/>
  <c r="B510" i="7"/>
  <c r="G509" i="7"/>
  <c r="B509" i="7"/>
  <c r="G508" i="7"/>
  <c r="B508" i="7"/>
  <c r="G507" i="7"/>
  <c r="B507" i="7"/>
  <c r="G506" i="7"/>
  <c r="B506" i="7"/>
  <c r="G505" i="7"/>
  <c r="B505" i="7"/>
  <c r="G504" i="7"/>
  <c r="B504" i="7"/>
  <c r="G503" i="7"/>
  <c r="B503" i="7"/>
  <c r="G502" i="7"/>
  <c r="B502" i="7"/>
  <c r="G501" i="7"/>
  <c r="B501" i="7"/>
  <c r="G500" i="7"/>
  <c r="B500" i="7"/>
  <c r="G499" i="7"/>
  <c r="B499" i="7"/>
  <c r="G498" i="7"/>
  <c r="B498" i="7"/>
  <c r="G497" i="7"/>
  <c r="B497" i="7"/>
  <c r="G496" i="7"/>
  <c r="B496" i="7"/>
  <c r="G495" i="7"/>
  <c r="B495" i="7"/>
  <c r="G494" i="7"/>
  <c r="B494" i="7"/>
  <c r="G493" i="7"/>
  <c r="B493" i="7"/>
  <c r="G492" i="7"/>
  <c r="B492" i="7"/>
  <c r="G491" i="7"/>
  <c r="B491" i="7"/>
  <c r="G490" i="7"/>
  <c r="B490" i="7"/>
  <c r="G489" i="7"/>
  <c r="B489" i="7"/>
  <c r="G488" i="7"/>
  <c r="B488" i="7"/>
  <c r="G487" i="7"/>
  <c r="B487" i="7"/>
  <c r="G486" i="7"/>
  <c r="B486" i="7"/>
  <c r="G485" i="7"/>
  <c r="B485" i="7"/>
  <c r="G484" i="7"/>
  <c r="B484" i="7"/>
  <c r="G483" i="7"/>
  <c r="B483" i="7"/>
  <c r="G482" i="7"/>
  <c r="B482" i="7"/>
  <c r="G481" i="7"/>
  <c r="B481" i="7"/>
  <c r="G480" i="7"/>
  <c r="B480" i="7"/>
  <c r="G478" i="7"/>
  <c r="B478" i="7"/>
  <c r="G477" i="7"/>
  <c r="B477" i="7"/>
  <c r="G476" i="7"/>
  <c r="B476" i="7"/>
  <c r="G475" i="7"/>
  <c r="B475" i="7"/>
  <c r="G474" i="7"/>
  <c r="B474" i="7"/>
  <c r="G473" i="7"/>
  <c r="B473" i="7"/>
  <c r="G472" i="7"/>
  <c r="B472" i="7"/>
  <c r="G471" i="7"/>
  <c r="B471" i="7"/>
  <c r="G470" i="7"/>
  <c r="B470" i="7"/>
  <c r="G469" i="7"/>
  <c r="B469" i="7"/>
  <c r="G468" i="7"/>
  <c r="B468" i="7"/>
  <c r="G467" i="7"/>
  <c r="B467" i="7"/>
  <c r="G466" i="7"/>
  <c r="B466" i="7"/>
  <c r="G465" i="7"/>
  <c r="B465" i="7"/>
  <c r="G464" i="7"/>
  <c r="B464" i="7"/>
  <c r="G463" i="7"/>
  <c r="B463" i="7"/>
  <c r="G462" i="7"/>
  <c r="B462" i="7"/>
  <c r="G461" i="7"/>
  <c r="B461" i="7"/>
  <c r="G460" i="7"/>
  <c r="B460" i="7"/>
  <c r="G459" i="7"/>
  <c r="B459" i="7"/>
  <c r="G458" i="7"/>
  <c r="B458" i="7"/>
  <c r="G456" i="7"/>
  <c r="B456" i="7"/>
  <c r="G455" i="7"/>
  <c r="B455" i="7"/>
  <c r="G454" i="7"/>
  <c r="B454" i="7"/>
  <c r="G453" i="7"/>
  <c r="B453" i="7"/>
  <c r="G452" i="7"/>
  <c r="B452" i="7"/>
  <c r="G451" i="7"/>
  <c r="B451" i="7"/>
  <c r="G450" i="7"/>
  <c r="B450" i="7"/>
  <c r="G449" i="7"/>
  <c r="B449" i="7"/>
  <c r="G448" i="7"/>
  <c r="B448" i="7"/>
  <c r="G447" i="7"/>
  <c r="B447" i="7"/>
  <c r="G446" i="7"/>
  <c r="B446" i="7"/>
  <c r="G445" i="7"/>
  <c r="B445" i="7"/>
  <c r="G444" i="7"/>
  <c r="B444" i="7"/>
  <c r="G443" i="7"/>
  <c r="B443" i="7"/>
  <c r="G442" i="7"/>
  <c r="B442" i="7"/>
  <c r="G441" i="7"/>
  <c r="B441" i="7"/>
  <c r="G440" i="7"/>
  <c r="B440" i="7"/>
  <c r="G439" i="7"/>
  <c r="B439" i="7"/>
  <c r="G438" i="7"/>
  <c r="B438" i="7"/>
  <c r="G437" i="7"/>
  <c r="B437" i="7"/>
  <c r="G436" i="7"/>
  <c r="B436" i="7"/>
  <c r="G434" i="7"/>
  <c r="B434" i="7"/>
  <c r="G433" i="7"/>
  <c r="B433" i="7"/>
  <c r="G432" i="7"/>
  <c r="B432" i="7"/>
  <c r="G431" i="7"/>
  <c r="B431" i="7"/>
  <c r="G430" i="7"/>
  <c r="B430" i="7"/>
  <c r="G429" i="7"/>
  <c r="B429" i="7"/>
  <c r="G428" i="7"/>
  <c r="B428" i="7"/>
  <c r="G427" i="7"/>
  <c r="B427" i="7"/>
  <c r="G426" i="7"/>
  <c r="B426" i="7"/>
  <c r="G425" i="7"/>
  <c r="B425" i="7"/>
  <c r="G424" i="7"/>
  <c r="B424" i="7"/>
  <c r="G423" i="7"/>
  <c r="B423" i="7"/>
  <c r="G422" i="7"/>
  <c r="B422" i="7"/>
  <c r="G421" i="7"/>
  <c r="B421" i="7"/>
  <c r="G420" i="7"/>
  <c r="B420" i="7"/>
  <c r="G419" i="7"/>
  <c r="B419" i="7"/>
  <c r="G418" i="7"/>
  <c r="B418" i="7"/>
  <c r="G417" i="7"/>
  <c r="B417" i="7"/>
  <c r="G416" i="7"/>
  <c r="B416" i="7"/>
  <c r="G415" i="7"/>
  <c r="B415" i="7"/>
  <c r="G414" i="7"/>
  <c r="B414" i="7"/>
  <c r="G412" i="7"/>
  <c r="B412" i="7"/>
  <c r="G411" i="7"/>
  <c r="B411" i="7"/>
  <c r="G410" i="7"/>
  <c r="B410" i="7"/>
  <c r="G409" i="7"/>
  <c r="B409" i="7"/>
  <c r="G408" i="7"/>
  <c r="B408" i="7"/>
  <c r="G407" i="7"/>
  <c r="B407" i="7"/>
  <c r="G406" i="7"/>
  <c r="B406" i="7"/>
  <c r="G405" i="7"/>
  <c r="B405" i="7"/>
  <c r="G404" i="7"/>
  <c r="B404" i="7"/>
  <c r="G403" i="7"/>
  <c r="B403" i="7"/>
  <c r="G402" i="7"/>
  <c r="B402" i="7"/>
  <c r="G401" i="7"/>
  <c r="B401" i="7"/>
  <c r="G400" i="7"/>
  <c r="B400" i="7"/>
  <c r="G399" i="7"/>
  <c r="B399" i="7"/>
  <c r="G398" i="7"/>
  <c r="B398" i="7"/>
  <c r="G397" i="7"/>
  <c r="B397" i="7"/>
  <c r="G396" i="7"/>
  <c r="B396" i="7"/>
  <c r="G395" i="7"/>
  <c r="B395" i="7"/>
  <c r="G394" i="7"/>
  <c r="B394" i="7"/>
  <c r="G393" i="7"/>
  <c r="B393" i="7"/>
  <c r="G392" i="7"/>
  <c r="B392" i="7"/>
  <c r="G390" i="7"/>
  <c r="B390" i="7"/>
  <c r="G389" i="7"/>
  <c r="B389" i="7"/>
  <c r="G388" i="7"/>
  <c r="B388" i="7"/>
  <c r="G387" i="7"/>
  <c r="B387" i="7"/>
  <c r="G386" i="7"/>
  <c r="B386" i="7"/>
  <c r="G385" i="7"/>
  <c r="B385" i="7"/>
  <c r="G384" i="7"/>
  <c r="B384" i="7"/>
  <c r="G383" i="7"/>
  <c r="B383" i="7"/>
  <c r="G382" i="7"/>
  <c r="B382" i="7"/>
  <c r="G381" i="7"/>
  <c r="B381" i="7"/>
  <c r="G380" i="7"/>
  <c r="B380" i="7"/>
  <c r="G379" i="7"/>
  <c r="B379" i="7"/>
  <c r="G378" i="7"/>
  <c r="B378" i="7"/>
  <c r="G377" i="7"/>
  <c r="B377" i="7"/>
  <c r="G376" i="7"/>
  <c r="B376" i="7"/>
  <c r="G375" i="7"/>
  <c r="B375" i="7"/>
  <c r="G374" i="7"/>
  <c r="B374" i="7"/>
  <c r="G373" i="7"/>
  <c r="B373" i="7"/>
  <c r="G372" i="7"/>
  <c r="B372" i="7"/>
  <c r="G371" i="7"/>
  <c r="B371" i="7"/>
  <c r="G370" i="7"/>
  <c r="B370" i="7"/>
  <c r="G369" i="7"/>
  <c r="B369" i="7"/>
  <c r="G368" i="7"/>
  <c r="B368" i="7"/>
  <c r="G367" i="7"/>
  <c r="B367" i="7"/>
  <c r="G365" i="7"/>
  <c r="B365" i="7"/>
  <c r="G364" i="7"/>
  <c r="B364" i="7"/>
  <c r="G363" i="7"/>
  <c r="B363" i="7"/>
  <c r="G362" i="7"/>
  <c r="B362" i="7"/>
  <c r="G361" i="7"/>
  <c r="B361" i="7"/>
  <c r="G360" i="7"/>
  <c r="B360" i="7"/>
  <c r="G359" i="7"/>
  <c r="B359" i="7"/>
  <c r="G358" i="7"/>
  <c r="B358" i="7"/>
  <c r="G357" i="7"/>
  <c r="B357" i="7"/>
  <c r="G356" i="7"/>
  <c r="B356" i="7"/>
  <c r="G355" i="7"/>
  <c r="B355" i="7"/>
  <c r="G354" i="7"/>
  <c r="B354" i="7"/>
  <c r="G353" i="7"/>
  <c r="B353" i="7"/>
  <c r="G352" i="7"/>
  <c r="B352" i="7"/>
  <c r="G351" i="7"/>
  <c r="B351" i="7"/>
  <c r="G350" i="7"/>
  <c r="B350" i="7"/>
  <c r="G349" i="7"/>
  <c r="B349" i="7"/>
  <c r="G348" i="7"/>
  <c r="B348" i="7"/>
  <c r="G347" i="7"/>
  <c r="B347" i="7"/>
  <c r="G346" i="7"/>
  <c r="B346" i="7"/>
  <c r="G345" i="7"/>
  <c r="B345" i="7"/>
  <c r="G344" i="7"/>
  <c r="B344" i="7"/>
  <c r="G343" i="7"/>
  <c r="B343" i="7"/>
  <c r="G342" i="7"/>
  <c r="B342" i="7"/>
  <c r="G341" i="7"/>
  <c r="B341" i="7"/>
  <c r="G340" i="7"/>
  <c r="B340" i="7"/>
  <c r="G338" i="7"/>
  <c r="B338" i="7"/>
  <c r="G337" i="7"/>
  <c r="B337" i="7"/>
  <c r="G336" i="7"/>
  <c r="B336" i="7"/>
  <c r="G335" i="7"/>
  <c r="B335" i="7"/>
  <c r="G334" i="7"/>
  <c r="B334" i="7"/>
  <c r="G333" i="7"/>
  <c r="B333" i="7"/>
  <c r="G332" i="7"/>
  <c r="B332" i="7"/>
  <c r="G331" i="7"/>
  <c r="B331" i="7"/>
  <c r="G330" i="7"/>
  <c r="B330" i="7"/>
  <c r="G329" i="7"/>
  <c r="B329" i="7"/>
  <c r="G328" i="7"/>
  <c r="B328" i="7"/>
  <c r="G327" i="7"/>
  <c r="B327" i="7"/>
  <c r="G326" i="7"/>
  <c r="B326" i="7"/>
  <c r="G325" i="7"/>
  <c r="B325" i="7"/>
  <c r="G324" i="7"/>
  <c r="B324" i="7"/>
  <c r="G323" i="7"/>
  <c r="B323" i="7"/>
  <c r="G322" i="7"/>
  <c r="B322" i="7"/>
  <c r="G321" i="7"/>
  <c r="B321" i="7"/>
  <c r="G320" i="7"/>
  <c r="B320" i="7"/>
  <c r="G319" i="7"/>
  <c r="B319" i="7"/>
  <c r="G318" i="7"/>
  <c r="B318" i="7"/>
  <c r="G317" i="7"/>
  <c r="B317" i="7"/>
  <c r="G316" i="7"/>
  <c r="B316" i="7"/>
  <c r="G315" i="7"/>
  <c r="B315" i="7"/>
  <c r="G314" i="7"/>
  <c r="B314" i="7"/>
  <c r="G311" i="7"/>
  <c r="B311" i="7"/>
  <c r="G310" i="7"/>
  <c r="B310" i="7"/>
  <c r="G309" i="7"/>
  <c r="B309" i="7"/>
  <c r="G308" i="7"/>
  <c r="B308" i="7"/>
  <c r="G307" i="7"/>
  <c r="B307" i="7"/>
  <c r="G306" i="7"/>
  <c r="B306" i="7"/>
  <c r="G305" i="7"/>
  <c r="B305" i="7"/>
  <c r="G302" i="7"/>
  <c r="B302" i="7"/>
  <c r="G301" i="7"/>
  <c r="B301" i="7"/>
  <c r="G300" i="7"/>
  <c r="B300" i="7"/>
  <c r="G299" i="7"/>
  <c r="B299" i="7"/>
  <c r="G298" i="7"/>
  <c r="B298" i="7"/>
  <c r="G297" i="7"/>
  <c r="B297" i="7"/>
  <c r="G294" i="7"/>
  <c r="B294" i="7"/>
  <c r="G293" i="7"/>
  <c r="B293" i="7"/>
  <c r="G292" i="7"/>
  <c r="B292" i="7"/>
  <c r="G291" i="7"/>
  <c r="B291" i="7"/>
  <c r="G290" i="7"/>
  <c r="B290" i="7"/>
  <c r="G289" i="7"/>
  <c r="B289" i="7"/>
  <c r="G288" i="7"/>
  <c r="B288" i="7"/>
  <c r="G287" i="7"/>
  <c r="B287" i="7"/>
  <c r="G286" i="7"/>
  <c r="B286" i="7"/>
  <c r="G283" i="7"/>
  <c r="B283" i="7"/>
  <c r="G282" i="7"/>
  <c r="B282" i="7"/>
  <c r="G281" i="7"/>
  <c r="B281" i="7"/>
  <c r="G280" i="7"/>
  <c r="B280" i="7"/>
  <c r="G279" i="7"/>
  <c r="B279" i="7"/>
  <c r="G278" i="7"/>
  <c r="B278" i="7"/>
  <c r="G277" i="7"/>
  <c r="B277" i="7"/>
  <c r="G276" i="7"/>
  <c r="B276" i="7"/>
  <c r="G275" i="7"/>
  <c r="B275" i="7"/>
  <c r="G274" i="7"/>
  <c r="B274" i="7"/>
  <c r="G273" i="7"/>
  <c r="B273" i="7"/>
  <c r="G270" i="7"/>
  <c r="B270" i="7"/>
  <c r="G269" i="7"/>
  <c r="B269" i="7"/>
  <c r="G268" i="7"/>
  <c r="B268" i="7"/>
  <c r="G267" i="7"/>
  <c r="B267" i="7"/>
  <c r="G266" i="7"/>
  <c r="B266" i="7"/>
  <c r="G265" i="7"/>
  <c r="B265" i="7"/>
  <c r="G264" i="7"/>
  <c r="B264" i="7"/>
  <c r="G263" i="7"/>
  <c r="B263" i="7"/>
  <c r="G262" i="7"/>
  <c r="B262" i="7"/>
  <c r="G261" i="7"/>
  <c r="B261" i="7"/>
  <c r="G260" i="7"/>
  <c r="B260" i="7"/>
  <c r="G257" i="7"/>
  <c r="B257" i="7"/>
  <c r="G256" i="7"/>
  <c r="B256" i="7"/>
  <c r="G255" i="7"/>
  <c r="B255" i="7"/>
  <c r="G254" i="7"/>
  <c r="B254" i="7"/>
  <c r="G253" i="7"/>
  <c r="B253" i="7"/>
  <c r="G252" i="7"/>
  <c r="B252" i="7"/>
  <c r="G251" i="7"/>
  <c r="B251" i="7"/>
  <c r="G250" i="7"/>
  <c r="B250" i="7"/>
  <c r="G249" i="7"/>
  <c r="B249" i="7"/>
  <c r="G248" i="7"/>
  <c r="B248" i="7"/>
  <c r="G247" i="7"/>
  <c r="B247" i="7"/>
  <c r="G246" i="7"/>
  <c r="B246" i="7"/>
  <c r="G245" i="7"/>
  <c r="B245" i="7"/>
  <c r="G244" i="7"/>
  <c r="B244" i="7"/>
  <c r="G243" i="7"/>
  <c r="B243" i="7"/>
  <c r="G242" i="7"/>
  <c r="B242" i="7"/>
  <c r="G241" i="7"/>
  <c r="B241" i="7"/>
  <c r="G240" i="7"/>
  <c r="B240" i="7"/>
  <c r="G239" i="7"/>
  <c r="B239" i="7"/>
  <c r="G238" i="7"/>
  <c r="B238" i="7"/>
  <c r="G237" i="7"/>
  <c r="B237" i="7"/>
  <c r="G236" i="7"/>
  <c r="B236" i="7"/>
  <c r="G235" i="7"/>
  <c r="B235" i="7"/>
  <c r="G234" i="7"/>
  <c r="B234" i="7"/>
  <c r="G233" i="7"/>
  <c r="B233" i="7"/>
  <c r="G232" i="7"/>
  <c r="B232" i="7"/>
  <c r="G231" i="7"/>
  <c r="B231" i="7"/>
  <c r="G230" i="7"/>
  <c r="B230" i="7"/>
  <c r="G229" i="7"/>
  <c r="B229" i="7"/>
  <c r="G228" i="7"/>
  <c r="B228" i="7"/>
  <c r="G227" i="7"/>
  <c r="B227" i="7"/>
  <c r="G226" i="7"/>
  <c r="B226" i="7"/>
  <c r="G225" i="7"/>
  <c r="B225" i="7"/>
  <c r="G224" i="7"/>
  <c r="B224" i="7"/>
  <c r="G223" i="7"/>
  <c r="B223" i="7"/>
  <c r="G222" i="7"/>
  <c r="B222" i="7"/>
  <c r="G221" i="7"/>
  <c r="B221" i="7"/>
  <c r="G220" i="7"/>
  <c r="B220" i="7"/>
  <c r="G219" i="7"/>
  <c r="B219" i="7"/>
  <c r="G218" i="7"/>
  <c r="B218" i="7"/>
  <c r="G217" i="7"/>
  <c r="B217" i="7"/>
  <c r="G216" i="7"/>
  <c r="B216" i="7"/>
  <c r="G215" i="7"/>
  <c r="B215" i="7"/>
  <c r="G214" i="7"/>
  <c r="B214" i="7"/>
  <c r="G213" i="7"/>
  <c r="B213" i="7"/>
  <c r="G212" i="7"/>
  <c r="B212" i="7"/>
  <c r="G211" i="7"/>
  <c r="B211" i="7"/>
  <c r="G210" i="7"/>
  <c r="B210" i="7"/>
  <c r="G209" i="7"/>
  <c r="B209" i="7"/>
  <c r="G208" i="7"/>
  <c r="B208" i="7"/>
  <c r="G207" i="7"/>
  <c r="B207" i="7"/>
  <c r="G206" i="7"/>
  <c r="B206" i="7"/>
  <c r="G205" i="7"/>
  <c r="B205" i="7"/>
  <c r="G204" i="7"/>
  <c r="B204" i="7"/>
  <c r="G203" i="7"/>
  <c r="B203" i="7"/>
  <c r="G202" i="7"/>
  <c r="B202" i="7"/>
  <c r="G201" i="7"/>
  <c r="B201" i="7"/>
  <c r="G200" i="7"/>
  <c r="B200" i="7"/>
  <c r="G199" i="7"/>
  <c r="B199" i="7"/>
  <c r="G198" i="7"/>
  <c r="B198" i="7"/>
  <c r="G197" i="7"/>
  <c r="B197" i="7"/>
  <c r="G196" i="7"/>
  <c r="B196" i="7"/>
  <c r="G195" i="7"/>
  <c r="B195" i="7"/>
  <c r="G194" i="7"/>
  <c r="B194" i="7"/>
  <c r="G193" i="7"/>
  <c r="B193" i="7"/>
  <c r="G192" i="7"/>
  <c r="B192" i="7"/>
  <c r="G191" i="7"/>
  <c r="B191" i="7"/>
  <c r="G190" i="7"/>
  <c r="B190" i="7"/>
  <c r="G189" i="7"/>
  <c r="B189" i="7"/>
  <c r="G188" i="7"/>
  <c r="B188" i="7"/>
  <c r="G141" i="7"/>
  <c r="B141" i="7"/>
  <c r="G140" i="7"/>
  <c r="B140" i="7"/>
  <c r="G139" i="7"/>
  <c r="B139" i="7"/>
  <c r="G138" i="7"/>
  <c r="B138" i="7"/>
  <c r="G137" i="7"/>
  <c r="B137" i="7"/>
  <c r="G136" i="7"/>
  <c r="B136" i="7"/>
  <c r="G135" i="7"/>
  <c r="B135" i="7"/>
  <c r="G134" i="7"/>
  <c r="B134" i="7"/>
  <c r="G133" i="7"/>
  <c r="B133" i="7"/>
  <c r="G132" i="7"/>
  <c r="B132" i="7"/>
  <c r="G129" i="7"/>
  <c r="B129" i="7"/>
  <c r="G128" i="7"/>
  <c r="B128" i="7"/>
  <c r="G127" i="7"/>
  <c r="B127" i="7"/>
  <c r="G126" i="7"/>
  <c r="B126" i="7"/>
  <c r="G125" i="7"/>
  <c r="B125" i="7"/>
  <c r="G124" i="7"/>
  <c r="B124" i="7"/>
  <c r="G123" i="7"/>
  <c r="B123" i="7"/>
  <c r="G122" i="7"/>
  <c r="B122" i="7"/>
  <c r="G121" i="7"/>
  <c r="B121" i="7"/>
  <c r="G120" i="7"/>
  <c r="B120" i="7"/>
  <c r="G119" i="7"/>
  <c r="B119" i="7"/>
  <c r="G118" i="7"/>
  <c r="B118" i="7"/>
  <c r="G115" i="7"/>
  <c r="B115" i="7"/>
  <c r="G114" i="7"/>
  <c r="B114" i="7"/>
  <c r="G113" i="7"/>
  <c r="B113" i="7"/>
  <c r="G112" i="7"/>
  <c r="B112" i="7"/>
  <c r="G111" i="7"/>
  <c r="B111" i="7"/>
  <c r="G110" i="7"/>
  <c r="B110" i="7"/>
  <c r="G109" i="7"/>
  <c r="B109" i="7"/>
  <c r="G108" i="7"/>
  <c r="B108" i="7"/>
  <c r="G105" i="7"/>
  <c r="G104" i="7"/>
  <c r="G103" i="7"/>
  <c r="G102" i="7"/>
  <c r="G101" i="7"/>
  <c r="G100" i="7"/>
  <c r="G99" i="7"/>
  <c r="G98" i="7"/>
  <c r="G97" i="7"/>
  <c r="G96" i="7"/>
  <c r="G95" i="7"/>
  <c r="B95" i="7"/>
  <c r="G92" i="7"/>
  <c r="B92" i="7"/>
  <c r="G91" i="7"/>
  <c r="G90" i="7"/>
  <c r="B90" i="7"/>
  <c r="G89" i="7"/>
  <c r="B89" i="7"/>
  <c r="G88" i="7"/>
  <c r="B88" i="7"/>
  <c r="G87" i="7"/>
  <c r="B87" i="7"/>
  <c r="G86" i="7"/>
  <c r="B86" i="7"/>
  <c r="G85" i="7"/>
  <c r="B85" i="7"/>
  <c r="G84" i="7"/>
  <c r="B84" i="7"/>
  <c r="G83" i="7"/>
  <c r="B83" i="7"/>
  <c r="G82" i="7"/>
  <c r="B82" i="7"/>
  <c r="G81" i="7"/>
  <c r="B81" i="7"/>
  <c r="G80" i="7"/>
  <c r="B80" i="7"/>
  <c r="G79" i="7"/>
  <c r="B79" i="7"/>
  <c r="G78" i="7"/>
  <c r="G77" i="7"/>
  <c r="G76" i="7"/>
  <c r="B76" i="7"/>
  <c r="G75" i="7"/>
  <c r="G72" i="7"/>
  <c r="B72" i="7"/>
  <c r="G71" i="7"/>
  <c r="B71" i="7"/>
  <c r="G70" i="7"/>
  <c r="B70" i="7"/>
  <c r="G69" i="7"/>
  <c r="B69" i="7"/>
  <c r="G68" i="7"/>
  <c r="B68" i="7"/>
  <c r="G67" i="7"/>
  <c r="B67" i="7"/>
  <c r="G64" i="7"/>
  <c r="G63" i="7"/>
  <c r="G62" i="7"/>
  <c r="G61" i="7"/>
  <c r="G58" i="7"/>
  <c r="B58" i="7"/>
  <c r="G57" i="7"/>
  <c r="B57" i="7"/>
  <c r="G56" i="7"/>
  <c r="G55" i="7"/>
  <c r="B55" i="7"/>
  <c r="G54" i="7"/>
  <c r="B54" i="7"/>
  <c r="G53" i="7"/>
  <c r="G52" i="7"/>
  <c r="B52" i="7"/>
  <c r="G51" i="7"/>
  <c r="B51" i="7"/>
  <c r="G50" i="7"/>
  <c r="G49" i="7"/>
  <c r="B49" i="7"/>
  <c r="G48" i="7"/>
  <c r="B48" i="7"/>
  <c r="G47" i="7"/>
  <c r="G46" i="7"/>
  <c r="B46" i="7"/>
  <c r="G45" i="7"/>
  <c r="B45" i="7"/>
  <c r="G44" i="7"/>
  <c r="G43" i="7"/>
  <c r="B43" i="7"/>
  <c r="G42" i="7"/>
  <c r="B42" i="7"/>
  <c r="G41" i="7"/>
  <c r="G40" i="7"/>
  <c r="B40" i="7"/>
  <c r="G39" i="7"/>
  <c r="B39" i="7"/>
  <c r="G38" i="7"/>
  <c r="G37" i="7"/>
  <c r="B37" i="7"/>
  <c r="G36" i="7"/>
  <c r="B36" i="7"/>
  <c r="G35" i="7"/>
  <c r="G34" i="7"/>
  <c r="B34" i="7"/>
  <c r="G33" i="7"/>
  <c r="B33" i="7"/>
  <c r="G32" i="7"/>
  <c r="G31" i="7"/>
  <c r="B31" i="7"/>
  <c r="G30" i="7"/>
  <c r="B30" i="7"/>
  <c r="G29" i="7"/>
  <c r="G25" i="7"/>
  <c r="G24" i="7"/>
  <c r="G23" i="7"/>
  <c r="G22" i="7"/>
  <c r="G16" i="7"/>
  <c r="B16" i="7"/>
  <c r="G15" i="7"/>
  <c r="G14" i="7"/>
  <c r="G13" i="7"/>
  <c r="G12" i="7"/>
  <c r="B12" i="7"/>
  <c r="G11" i="7"/>
  <c r="G10" i="7"/>
  <c r="G9" i="7"/>
  <c r="G8" i="7"/>
  <c r="G7" i="7"/>
  <c r="G6" i="7"/>
  <c r="G5" i="7"/>
  <c r="G4" i="7"/>
  <c r="G210" i="1"/>
  <c r="G362" i="1"/>
  <c r="G276" i="1"/>
  <c r="G425" i="1"/>
  <c r="G424" i="1"/>
  <c r="G419" i="1"/>
  <c r="G418" i="1"/>
  <c r="G377" i="1"/>
  <c r="G376" i="1"/>
  <c r="G409" i="1"/>
  <c r="G408" i="1"/>
  <c r="G407" i="1"/>
  <c r="G402" i="1"/>
  <c r="G401" i="1"/>
  <c r="G398" i="1"/>
  <c r="G394" i="1"/>
  <c r="G393" i="1"/>
  <c r="G387" i="1"/>
  <c r="G386" i="1"/>
  <c r="G385" i="1"/>
  <c r="G369" i="1"/>
  <c r="G368" i="1"/>
  <c r="G275" i="1"/>
  <c r="G274" i="1"/>
  <c r="G273" i="1"/>
  <c r="G361" i="1"/>
  <c r="G360" i="1"/>
  <c r="G359" i="1"/>
  <c r="G358" i="1"/>
  <c r="G357" i="1"/>
  <c r="G356" i="1"/>
  <c r="G355" i="1"/>
  <c r="G354" i="1"/>
  <c r="G353" i="1"/>
  <c r="G209" i="1"/>
  <c r="G208" i="1"/>
  <c r="G207" i="1"/>
  <c r="G206" i="1"/>
  <c r="G205" i="1"/>
  <c r="G204" i="1"/>
  <c r="G203" i="1"/>
  <c r="G202" i="1"/>
  <c r="G201" i="1"/>
  <c r="G200" i="1"/>
  <c r="G199" i="1"/>
  <c r="G422" i="1"/>
  <c r="G421" i="1"/>
  <c r="G420" i="1"/>
  <c r="G414" i="1"/>
  <c r="A413" i="1"/>
  <c r="B413" i="1" s="1"/>
  <c r="G412" i="1"/>
  <c r="A411" i="1"/>
  <c r="G410" i="1"/>
  <c r="G374" i="1"/>
  <c r="A373" i="1"/>
  <c r="B373" i="1" s="1"/>
  <c r="G372" i="1"/>
  <c r="A371" i="1"/>
  <c r="B371" i="1" s="1"/>
  <c r="G370" i="1"/>
  <c r="G406" i="1"/>
  <c r="G405" i="1"/>
  <c r="G404" i="1"/>
  <c r="G403" i="1"/>
  <c r="G400" i="1"/>
  <c r="G397" i="1"/>
  <c r="A396" i="1"/>
  <c r="B396" i="1" s="1"/>
  <c r="G392" i="1"/>
  <c r="G391" i="1"/>
  <c r="G390" i="1"/>
  <c r="A389" i="1"/>
  <c r="G389" i="1" s="1"/>
  <c r="G388" i="1"/>
  <c r="G384" i="1"/>
  <c r="A383" i="1"/>
  <c r="G383" i="1" s="1"/>
  <c r="G382" i="1"/>
  <c r="A381" i="1"/>
  <c r="B381" i="1" s="1"/>
  <c r="G380" i="1"/>
  <c r="A379" i="1"/>
  <c r="B379" i="1" s="1"/>
  <c r="G378" i="1"/>
  <c r="G367" i="1"/>
  <c r="A366" i="1"/>
  <c r="B366" i="1" s="1"/>
  <c r="G365" i="1"/>
  <c r="A364" i="1"/>
  <c r="B364" i="1" s="1"/>
  <c r="G363" i="1"/>
  <c r="G272" i="1"/>
  <c r="A271" i="1"/>
  <c r="G271" i="1" s="1"/>
  <c r="G270" i="1"/>
  <c r="A269" i="1"/>
  <c r="B269" i="1" s="1"/>
  <c r="G268" i="1"/>
  <c r="A267" i="1"/>
  <c r="B267" i="1" s="1"/>
  <c r="G266" i="1"/>
  <c r="A265" i="1"/>
  <c r="B265" i="1" s="1"/>
  <c r="G264" i="1"/>
  <c r="G350" i="1"/>
  <c r="A349" i="1"/>
  <c r="G349" i="1" s="1"/>
  <c r="G348" i="1"/>
  <c r="A347" i="1"/>
  <c r="B347" i="1" s="1"/>
  <c r="G346" i="1"/>
  <c r="A345" i="1"/>
  <c r="B345" i="1" s="1"/>
  <c r="G344" i="1"/>
  <c r="A343" i="1"/>
  <c r="G343" i="1" s="1"/>
  <c r="G342" i="1"/>
  <c r="A341" i="1"/>
  <c r="B341" i="1" s="1"/>
  <c r="G340" i="1"/>
  <c r="A339" i="1"/>
  <c r="G339" i="1" s="1"/>
  <c r="G338" i="1"/>
  <c r="A337" i="1"/>
  <c r="G337" i="1" s="1"/>
  <c r="G336" i="1"/>
  <c r="A335" i="1"/>
  <c r="G335" i="1" s="1"/>
  <c r="G334" i="1"/>
  <c r="A333" i="1"/>
  <c r="B333" i="1" s="1"/>
  <c r="G332" i="1"/>
  <c r="G150" i="1"/>
  <c r="G149" i="1"/>
  <c r="A148" i="1"/>
  <c r="B148" i="1" s="1"/>
  <c r="G147" i="1"/>
  <c r="A146" i="1"/>
  <c r="B146" i="1" s="1"/>
  <c r="G145" i="1"/>
  <c r="A144" i="1"/>
  <c r="G144" i="1" s="1"/>
  <c r="G143" i="1"/>
  <c r="A142" i="1"/>
  <c r="G142" i="1" s="1"/>
  <c r="B23" i="6"/>
  <c r="B24" i="6"/>
  <c r="G156" i="1"/>
  <c r="G329" i="1"/>
  <c r="G325" i="1"/>
  <c r="G306" i="1"/>
  <c r="G307" i="1"/>
  <c r="G308" i="1"/>
  <c r="G309" i="1"/>
  <c r="G305" i="1"/>
  <c r="G299" i="1"/>
  <c r="G263" i="1"/>
  <c r="G254" i="1"/>
  <c r="G224" i="1"/>
  <c r="G215" i="1"/>
  <c r="G439" i="1"/>
  <c r="G198" i="1"/>
  <c r="G184" i="1"/>
  <c r="G170" i="1"/>
  <c r="G328" i="1"/>
  <c r="G327" i="1"/>
  <c r="G324" i="1"/>
  <c r="G323" i="1"/>
  <c r="G322" i="1"/>
  <c r="G321" i="1"/>
  <c r="G320" i="1"/>
  <c r="G319" i="1"/>
  <c r="G304" i="1"/>
  <c r="G303" i="1"/>
  <c r="G302" i="1"/>
  <c r="G301" i="1"/>
  <c r="G300" i="1"/>
  <c r="G293" i="1"/>
  <c r="G294" i="1"/>
  <c r="G295" i="1"/>
  <c r="G298" i="1"/>
  <c r="G292" i="1"/>
  <c r="G284" i="1"/>
  <c r="G283" i="1"/>
  <c r="G282" i="1"/>
  <c r="G290" i="1"/>
  <c r="G289" i="1"/>
  <c r="G288" i="1"/>
  <c r="G286" i="1"/>
  <c r="G279" i="1"/>
  <c r="G280" i="1"/>
  <c r="G257" i="1"/>
  <c r="G256" i="1"/>
  <c r="G255" i="1"/>
  <c r="G253" i="1"/>
  <c r="G249" i="1"/>
  <c r="G250" i="1"/>
  <c r="G248" i="1"/>
  <c r="G228" i="1"/>
  <c r="G227" i="1"/>
  <c r="G226" i="1"/>
  <c r="G225" i="1"/>
  <c r="G223" i="1"/>
  <c r="G222" i="1"/>
  <c r="G221" i="1"/>
  <c r="G220" i="1"/>
  <c r="G219" i="1"/>
  <c r="G218" i="1"/>
  <c r="G217" i="1"/>
  <c r="G212" i="1"/>
  <c r="G213" i="1"/>
  <c r="G214" i="1"/>
  <c r="G216" i="1"/>
  <c r="G427" i="1"/>
  <c r="G428" i="1"/>
  <c r="G429" i="1"/>
  <c r="G430" i="1"/>
  <c r="G431" i="1"/>
  <c r="G432" i="1"/>
  <c r="G433" i="1"/>
  <c r="G434" i="1"/>
  <c r="G435" i="1"/>
  <c r="G436" i="1"/>
  <c r="G437" i="1"/>
  <c r="G438" i="1"/>
  <c r="G186" i="1"/>
  <c r="G187" i="1"/>
  <c r="G188" i="1"/>
  <c r="G189" i="1"/>
  <c r="G190" i="1"/>
  <c r="G191" i="1"/>
  <c r="G192" i="1"/>
  <c r="G193" i="1"/>
  <c r="G194" i="1"/>
  <c r="G195" i="1"/>
  <c r="G196" i="1"/>
  <c r="G197" i="1"/>
  <c r="G172" i="1"/>
  <c r="G173" i="1"/>
  <c r="G174" i="1"/>
  <c r="G175" i="1"/>
  <c r="G176" i="1"/>
  <c r="G177" i="1"/>
  <c r="G178" i="1"/>
  <c r="G179" i="1"/>
  <c r="G180" i="1"/>
  <c r="G181" i="1"/>
  <c r="G182" i="1"/>
  <c r="G183" i="1"/>
  <c r="G158" i="1"/>
  <c r="G159" i="1"/>
  <c r="G160" i="1"/>
  <c r="G161" i="1"/>
  <c r="G162" i="1"/>
  <c r="G163" i="1"/>
  <c r="G164" i="1"/>
  <c r="G165" i="1"/>
  <c r="G166" i="1"/>
  <c r="G167" i="1"/>
  <c r="G168" i="1"/>
  <c r="G169" i="1"/>
  <c r="G157" i="1"/>
  <c r="G171" i="1"/>
  <c r="G185" i="1"/>
  <c r="G426" i="1"/>
  <c r="G153" i="1"/>
  <c r="G154" i="1"/>
  <c r="G155" i="1"/>
  <c r="G152" i="1"/>
  <c r="G278" i="1"/>
  <c r="G262" i="1"/>
  <c r="G261" i="1"/>
  <c r="G260" i="1"/>
  <c r="G259" i="1"/>
  <c r="G258" i="1"/>
  <c r="G247" i="1"/>
  <c r="G245" i="1"/>
  <c r="G211" i="1"/>
  <c r="G411" i="1" l="1"/>
  <c r="B411" i="1"/>
  <c r="G396" i="1"/>
  <c r="B335" i="1"/>
  <c r="B142" i="1"/>
  <c r="B337" i="1"/>
  <c r="G265" i="1"/>
  <c r="G364" i="1"/>
  <c r="G381" i="1"/>
  <c r="G138" i="1"/>
  <c r="B343" i="1"/>
  <c r="B383" i="1"/>
  <c r="G373" i="1"/>
  <c r="G128" i="1"/>
  <c r="G333" i="1"/>
  <c r="G148" i="1"/>
  <c r="G371" i="1"/>
  <c r="B144" i="1"/>
  <c r="G345" i="1"/>
  <c r="G136" i="1"/>
  <c r="G269" i="1"/>
  <c r="B349" i="1"/>
  <c r="B271" i="1"/>
  <c r="B134" i="1"/>
  <c r="G347" i="1"/>
  <c r="B339" i="1"/>
  <c r="G130" i="1"/>
  <c r="G132" i="1"/>
  <c r="G341" i="1"/>
  <c r="G379" i="1"/>
  <c r="G366" i="1"/>
  <c r="G146" i="1"/>
  <c r="G140" i="1"/>
  <c r="G267" i="1"/>
  <c r="G4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tc={AF038C27-C832-8547-B069-7A93D1A124B5}</author>
    <author>Tulsi Ratnam</author>
  </authors>
  <commentList>
    <comment ref="A125"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Deleted list of providers</t>
      </text>
    </comment>
    <comment ref="G330" authorId="1" shapeId="0" xr:uid="{00000000-0006-0000-0000-000002000000}">
      <text>
        <r>
          <rPr>
            <b/>
            <sz val="9"/>
            <color indexed="81"/>
            <rFont val="Tahoma"/>
            <family val="2"/>
          </rPr>
          <t>Tulsi Ratnam:</t>
        </r>
        <r>
          <rPr>
            <sz val="9"/>
            <color indexed="81"/>
            <rFont val="Tahoma"/>
            <family val="2"/>
          </rPr>
          <t xml:space="preserve">
New question from BI</t>
        </r>
      </text>
    </comment>
  </commentList>
</comments>
</file>

<file path=xl/sharedStrings.xml><?xml version="1.0" encoding="utf-8"?>
<sst xmlns="http://schemas.openxmlformats.org/spreadsheetml/2006/main" count="6147" uniqueCount="2928">
  <si>
    <t>Questionnaire Indonesia 2018</t>
  </si>
  <si>
    <t>Section AA: Respondent information &amp; Section AB: Interview information</t>
  </si>
  <si>
    <t>Q#</t>
  </si>
  <si>
    <t>Label</t>
  </si>
  <si>
    <t>Values</t>
  </si>
  <si>
    <t>Type</t>
  </si>
  <si>
    <t>Width</t>
  </si>
  <si>
    <t>Filter instruction</t>
  </si>
  <si>
    <t>SPSS Variable Name</t>
  </si>
  <si>
    <t>Serial</t>
  </si>
  <si>
    <t>Serial. Questionnaire ID</t>
  </si>
  <si>
    <t>N/A</t>
  </si>
  <si>
    <t>Numeric</t>
  </si>
  <si>
    <t>ALL</t>
  </si>
  <si>
    <t>AA0</t>
  </si>
  <si>
    <t>AA0. Cluster number</t>
  </si>
  <si>
    <t>AA1</t>
  </si>
  <si>
    <t>AA1. Province</t>
  </si>
  <si>
    <t>Please provide province code</t>
  </si>
  <si>
    <t>AA2</t>
  </si>
  <si>
    <t>AA2. Kecamatan</t>
  </si>
  <si>
    <t>Please provide kecamatan code</t>
  </si>
  <si>
    <t>AA3</t>
  </si>
  <si>
    <t>AA4</t>
  </si>
  <si>
    <t>AA5</t>
  </si>
  <si>
    <t>AA5. RT</t>
  </si>
  <si>
    <t>AA6</t>
  </si>
  <si>
    <t>AA6. Dusun</t>
  </si>
  <si>
    <t>AA7</t>
  </si>
  <si>
    <t xml:space="preserve">AA7. Residence </t>
  </si>
  <si>
    <t>1=Urban_x000D_
2=Rural</t>
  </si>
  <si>
    <t>Single</t>
  </si>
  <si>
    <t>AA8</t>
  </si>
  <si>
    <t>AA8. Date(dd.mm.yyyy)</t>
  </si>
  <si>
    <t>Date</t>
  </si>
  <si>
    <t>AA9</t>
  </si>
  <si>
    <t>AA9. Interviewer Number</t>
  </si>
  <si>
    <t>AA10</t>
  </si>
  <si>
    <t>AA10. Interviewer Name</t>
  </si>
  <si>
    <t>AA11</t>
  </si>
  <si>
    <t>AA11. Supervisor Number</t>
  </si>
  <si>
    <t>AA12</t>
  </si>
  <si>
    <t>AA12. Supervisor Name</t>
  </si>
  <si>
    <t>Verbatim</t>
  </si>
  <si>
    <t>AA13</t>
  </si>
  <si>
    <t>AA13. Household Latitude</t>
  </si>
  <si>
    <t>AA14</t>
  </si>
  <si>
    <t>Section HH: Definition of Household</t>
  </si>
  <si>
    <t>I.1. D2</t>
  </si>
  <si>
    <t>I.1. D2. Name of Household Member</t>
  </si>
  <si>
    <t>I.1. D3</t>
  </si>
  <si>
    <t>I.1. D4</t>
  </si>
  <si>
    <t>1=Male
2=Female</t>
  </si>
  <si>
    <t>I.2. D2</t>
  </si>
  <si>
    <t>I.2. D3</t>
  </si>
  <si>
    <t>I.2. D4</t>
  </si>
  <si>
    <t>I.3. D2</t>
  </si>
  <si>
    <t>I.3. D3</t>
  </si>
  <si>
    <t>I.3. D4</t>
  </si>
  <si>
    <t>I.4. D2</t>
  </si>
  <si>
    <t>I.4. D3</t>
  </si>
  <si>
    <t>I.4. D4</t>
  </si>
  <si>
    <t>I.5. D2</t>
  </si>
  <si>
    <t>I.5. D3</t>
  </si>
  <si>
    <t>I.5. D4</t>
  </si>
  <si>
    <t>I.6. D2</t>
  </si>
  <si>
    <t>I.6. D3</t>
  </si>
  <si>
    <t>I.6. D4</t>
  </si>
  <si>
    <t>I.7. D2</t>
  </si>
  <si>
    <t>I.7. D3</t>
  </si>
  <si>
    <t>I.7. D4</t>
  </si>
  <si>
    <t>I.8. D2</t>
  </si>
  <si>
    <t>I.8. D3</t>
  </si>
  <si>
    <t>I.8. D4</t>
  </si>
  <si>
    <t>I.9. D2</t>
  </si>
  <si>
    <t>I.9. D3</t>
  </si>
  <si>
    <t>I.9. D4</t>
  </si>
  <si>
    <t>I.10. D2</t>
  </si>
  <si>
    <t>I.10. D3</t>
  </si>
  <si>
    <t>I.10. D4</t>
  </si>
  <si>
    <t>Section 1: DEMOGRAPHICS
[READ OUT] First I have a few basic questions.</t>
  </si>
  <si>
    <t>DG1</t>
  </si>
  <si>
    <t>DG1. What year were you born?</t>
  </si>
  <si>
    <t>x&lt;=2004</t>
  </si>
  <si>
    <t>DG2</t>
  </si>
  <si>
    <t>DG2. Is the respondent a male or a female? [DO NOT READ]</t>
  </si>
  <si>
    <t>1=Male_x000D_
2=Female</t>
  </si>
  <si>
    <t>DG3</t>
  </si>
  <si>
    <t>DG3. Are you currently married or not married?</t>
  </si>
  <si>
    <t>1=Married
2=Not married</t>
  </si>
  <si>
    <t>DG4</t>
  </si>
  <si>
    <t>DG4. What is your highest level of education?</t>
  </si>
  <si>
    <t>see vDG4 sheet</t>
  </si>
  <si>
    <r>
      <t xml:space="preserve">Section 2: KNOW YOUR CUSTOMER DOCUMENTS
</t>
    </r>
    <r>
      <rPr>
        <b/>
        <sz val="10"/>
        <rFont val="Arial"/>
        <family val="2"/>
      </rPr>
      <t>[READ OUT] My next questions are about different documents that you might have.</t>
    </r>
  </si>
  <si>
    <t>DG5.1</t>
  </si>
  <si>
    <t>1=Yes_x000D_
2=No</t>
  </si>
  <si>
    <t>DG5.2</t>
  </si>
  <si>
    <t>DG5.3</t>
  </si>
  <si>
    <t>DG5.4</t>
  </si>
  <si>
    <t>DG5.5</t>
  </si>
  <si>
    <t>DG5.6</t>
  </si>
  <si>
    <t>Section 3: HOUSEHOLD CHARACTERISTICS
[READ OUT] My next questions are about your household income and financial situation.</t>
  </si>
  <si>
    <t>DG6</t>
  </si>
  <si>
    <t>DG6. What is your relationship to the household head? The household head is _____.</t>
  </si>
  <si>
    <t>1=Me
2=My spouse
3=My son/daughter (including in-laws)
4=My father/mother (including in-laws)
5=My sister/brother (including in-laws)
6=My grandmother/father (including in-laws)
7=My grandchild
8=My other relative
9=My non-relative
-2=DK [DO NOT READ]</t>
  </si>
  <si>
    <t>DL0</t>
  </si>
  <si>
    <t>1=None
2=A little
3=About half
4=Most
5=Almost all
-3=REF [DO NOT READ]
-2=DK [DO NOT READ]</t>
  </si>
  <si>
    <t>DL1</t>
  </si>
  <si>
    <t>DL1. In the past 12 months, what were you mainly doing for work?</t>
  </si>
  <si>
    <t>see sheet vDL1</t>
  </si>
  <si>
    <t>DL2</t>
  </si>
  <si>
    <t>DL2. What is your primary job (i.e., the job where you spend most of your time)?</t>
  </si>
  <si>
    <t>see sheet vDL2</t>
  </si>
  <si>
    <t>IF DL1&lt;=5 AND DL1&gt;0</t>
  </si>
  <si>
    <t>DL4.1</t>
  </si>
  <si>
    <t>DL4.2</t>
  </si>
  <si>
    <t>DL4.3</t>
  </si>
  <si>
    <t>DL4.4</t>
  </si>
  <si>
    <t>DL4.5</t>
  </si>
  <si>
    <t>DL4.6</t>
  </si>
  <si>
    <t>DL4.7</t>
  </si>
  <si>
    <t>DL4.8</t>
  </si>
  <si>
    <t>DL4.9</t>
  </si>
  <si>
    <t>DL4.10</t>
  </si>
  <si>
    <t>DL4.11</t>
  </si>
  <si>
    <t>1=Yes
2=No</t>
  </si>
  <si>
    <t>DL6</t>
  </si>
  <si>
    <t>DL7</t>
  </si>
  <si>
    <t xml:space="preserve">DL7. Do you work on the farm yourself?  </t>
  </si>
  <si>
    <t>IF DL6=1</t>
  </si>
  <si>
    <t>DL11</t>
  </si>
  <si>
    <t>N/A
-2=DK [DO NOT READ]</t>
  </si>
  <si>
    <t>Section 4: PROGRESS OUT OF POVERTY INDEX</t>
  </si>
  <si>
    <t>DL14</t>
  </si>
  <si>
    <t>1=Six or more
2=Five
3=Four
4=Three
5=Two
6=One</t>
  </si>
  <si>
    <t>DL15</t>
  </si>
  <si>
    <t>DL15.Do all of the household members, ages 6 to 18, go to school? </t>
  </si>
  <si>
    <t>1=No members age 6 to 18
2=No 
3=Yes</t>
  </si>
  <si>
    <t>DL16</t>
  </si>
  <si>
    <t>DL16.What is the highest level of education that the female head/spouse has completed?</t>
  </si>
  <si>
    <t>1=None
2=Primary school (incl. disabled, Islamic, or non-formal)
3=Junior-high school (incl. disabled, Islamic, or non-formal)
4=No female head/spouse
5=Vocational school (high-school level)
6=High school (incl. disabled, Islamic, or non-formal)
7=Diploma (one-year or higher), or higher</t>
  </si>
  <si>
    <t>DL17</t>
  </si>
  <si>
    <t>DL17. What was the employment status of the male head/spouse in the past week in his main job?</t>
  </si>
  <si>
    <t>1=No male head/spouse
2=Not working, or unpaid worker
3=Self-employed
4=Business owner, or business owner with only temporary or unpaid workers
5=Wage or salary employee
6=Business owner with some permanent or paid workers</t>
  </si>
  <si>
    <t>DL18</t>
  </si>
  <si>
    <t>DL18. What is the main material of the floor in your household?</t>
  </si>
  <si>
    <t>1=Earth or bamboo
2=Others</t>
  </si>
  <si>
    <t>DL19</t>
  </si>
  <si>
    <t>DL19. What type of toilet arrangement does the household have?</t>
  </si>
  <si>
    <t>1=None, or latrine
2=Non-flush to a septic tank
3=Flush</t>
  </si>
  <si>
    <t>DL20</t>
  </si>
  <si>
    <t>DL20. What is the main cooking fuel in your household?</t>
  </si>
  <si>
    <t>1=Firewood, charcoal, or coal
2=Gas/LPG, kerosene, electricity, others, or does not cook</t>
  </si>
  <si>
    <t>DL21</t>
  </si>
  <si>
    <t>DL21. Does the household have a gas cylinder of 12kg or more?</t>
  </si>
  <si>
    <t>1=No
2=Yes</t>
  </si>
  <si>
    <t>DL22</t>
  </si>
  <si>
    <t>DL22. Does the household have a refrigerator or freezer?</t>
  </si>
  <si>
    <t>DL23</t>
  </si>
  <si>
    <t>DL23. Does the household have a motorcycle, scooter, or motorized boat?</t>
  </si>
  <si>
    <t>DL24</t>
  </si>
  <si>
    <t>DL24.Please look at this card and tell me which answer best reflects your family's financial situation?</t>
  </si>
  <si>
    <t>1=We don't have enough money for food
2=We have enough money for food, but buying clothes is difficult
3=We have enough money for food and clothes, and can save a bit, but not enough to buy expensive goods such as a TV set or a refrigerator
4=We can afford to buy certain expensive goods such as a TV set or a refrigerator
5=We can afford to buy whatever we want
-2=DK [DO NOT READ]</t>
  </si>
  <si>
    <t>Section 5: MOBILE TECHNOLOGY
[READ OUT] My next questions are about mobile phones.</t>
  </si>
  <si>
    <t>MT2</t>
  </si>
  <si>
    <t>MT2. Do you personally own a mobile phone?</t>
  </si>
  <si>
    <t>MT2A.1</t>
  </si>
  <si>
    <t>IF MT2=1</t>
  </si>
  <si>
    <t>MT2A.2</t>
  </si>
  <si>
    <t>MT2A.3</t>
  </si>
  <si>
    <t>MT2B</t>
  </si>
  <si>
    <t>MT2B. How often do you share your mobile phone or allow it to be used by other people?</t>
  </si>
  <si>
    <t>1=Never
2=Rarely
3=A few times a month
4=A few times a week
5=Every day</t>
  </si>
  <si>
    <t>MT6B</t>
  </si>
  <si>
    <t>1=Never
2=Rarely
3=Sometimes
4=Often
5=Almost always</t>
  </si>
  <si>
    <t>MT6D</t>
  </si>
  <si>
    <t>MTGN</t>
  </si>
  <si>
    <t>1=Strongly disagree
2=Somewhat disagree
3=Neither disagree, nor agree
4=Somewhat agree
5=Strongly agree
-3=REF [DO NOT READ]
-2=DK [DO NOT READ]</t>
  </si>
  <si>
    <t>MT7</t>
  </si>
  <si>
    <t>MT8</t>
  </si>
  <si>
    <t>1=Data, along with voice and text
2=Only voice and text
-2=DK [DO NOT READ]</t>
  </si>
  <si>
    <t>IF MT2=1 OR MT7=1</t>
  </si>
  <si>
    <t>MT9.1</t>
  </si>
  <si>
    <t>IF MT2=2</t>
  </si>
  <si>
    <t>MT9.2</t>
  </si>
  <si>
    <t>MT9.3</t>
  </si>
  <si>
    <t>MT9.4</t>
  </si>
  <si>
    <t>MT9.5</t>
  </si>
  <si>
    <t>MT9.6</t>
  </si>
  <si>
    <t xml:space="preserve">1=Yes
2=No </t>
  </si>
  <si>
    <t>Filter Instruction</t>
  </si>
  <si>
    <t>SPSS variable name</t>
  </si>
  <si>
    <t>OJK1.1</t>
  </si>
  <si>
    <t>1=Conventional
2=Sharia
3=Both conventional and sharia
-2=DK [DO NOT READ]</t>
  </si>
  <si>
    <t>IF OJK1_1=1</t>
  </si>
  <si>
    <t>OJK1.2</t>
  </si>
  <si>
    <t>IF OJK1_2=1</t>
  </si>
  <si>
    <t>OJK1.3</t>
  </si>
  <si>
    <t>IF OJK1_3=1</t>
  </si>
  <si>
    <t>OJK1.4</t>
  </si>
  <si>
    <t>IF OJK1_4=1</t>
  </si>
  <si>
    <t>OJK1.5</t>
  </si>
  <si>
    <t>IF OJK1_5=1</t>
  </si>
  <si>
    <t>OJK1.6</t>
  </si>
  <si>
    <t>IF OJK1_6=1</t>
  </si>
  <si>
    <t>OJK1.7</t>
  </si>
  <si>
    <t>IF OJK1_7=1</t>
  </si>
  <si>
    <t>OJK1.8</t>
  </si>
  <si>
    <t>IF OJK1_8=1</t>
  </si>
  <si>
    <t>OJK1.9</t>
  </si>
  <si>
    <t>IF OJK1_9=1</t>
  </si>
  <si>
    <t>OJK1.10</t>
  </si>
  <si>
    <t>IF OJK1_10=1</t>
  </si>
  <si>
    <t>OJK1.11</t>
  </si>
  <si>
    <t>IF OJK1_11=1</t>
  </si>
  <si>
    <t>OJK1.12</t>
  </si>
  <si>
    <t>OJK1.13</t>
  </si>
  <si>
    <t>OJK1.14</t>
  </si>
  <si>
    <t>OJK2.1</t>
  </si>
  <si>
    <t>IF OJK2_1=1</t>
  </si>
  <si>
    <t>OJK2.2</t>
  </si>
  <si>
    <t>IF OJK2_2=1</t>
  </si>
  <si>
    <t>OJK2.3</t>
  </si>
  <si>
    <t>IF OJK2_3=1</t>
  </si>
  <si>
    <t>OJK2.4</t>
  </si>
  <si>
    <t>IF OJK2_4=1</t>
  </si>
  <si>
    <t>OJK2.5</t>
  </si>
  <si>
    <t>IF OJK2_5=1</t>
  </si>
  <si>
    <t>OJK2.6</t>
  </si>
  <si>
    <t>IF OJK2_6=1</t>
  </si>
  <si>
    <t>OJK2.7</t>
  </si>
  <si>
    <t>IF OJK2_7=1</t>
  </si>
  <si>
    <t>OJK2.8</t>
  </si>
  <si>
    <t>IF OJK2_8=1</t>
  </si>
  <si>
    <t>OJK2.9</t>
  </si>
  <si>
    <t>IF OJK2_9=1</t>
  </si>
  <si>
    <t>OJK2.10</t>
  </si>
  <si>
    <t>OJK2.10A</t>
  </si>
  <si>
    <t>IF OJK2_10=1</t>
  </si>
  <si>
    <t>OJK2.11</t>
  </si>
  <si>
    <t>OJK3.1</t>
  </si>
  <si>
    <t>IF OJK3_1=1</t>
  </si>
  <si>
    <t>OJK3.2</t>
  </si>
  <si>
    <t>IF OJK3_2=1</t>
  </si>
  <si>
    <t>OJK3.3</t>
  </si>
  <si>
    <t>IF OJK3_3=1</t>
  </si>
  <si>
    <t>OJK3.4</t>
  </si>
  <si>
    <t>IF OJK3_4=1</t>
  </si>
  <si>
    <t>OJK3.5</t>
  </si>
  <si>
    <t>OJK5.1</t>
  </si>
  <si>
    <t>IF OJK5_1=1</t>
  </si>
  <si>
    <t>OJK5.2</t>
  </si>
  <si>
    <t>IF OJK5_2=1</t>
  </si>
  <si>
    <t>OJK5.3</t>
  </si>
  <si>
    <t>OJK6.1</t>
  </si>
  <si>
    <t>IF OJK6_1=1</t>
  </si>
  <si>
    <t>OJK6.2</t>
  </si>
  <si>
    <t>IF OJK6_2=1</t>
  </si>
  <si>
    <t>OJK6.3</t>
  </si>
  <si>
    <t>IF OJK6_3=1</t>
  </si>
  <si>
    <t>OJK6.4</t>
  </si>
  <si>
    <t>OJK7.1</t>
  </si>
  <si>
    <t>IF OJK7_1=1</t>
  </si>
  <si>
    <t>OJK7.2</t>
  </si>
  <si>
    <t>OJK7.3</t>
  </si>
  <si>
    <t>OJK7.4</t>
  </si>
  <si>
    <t>OJK8.1</t>
  </si>
  <si>
    <t>IF OJK8_1=1</t>
  </si>
  <si>
    <t>OJK8.2</t>
  </si>
  <si>
    <t>OJK9.1</t>
  </si>
  <si>
    <t>OJK9.2</t>
  </si>
  <si>
    <t>OJK10.1</t>
  </si>
  <si>
    <t>OJK10.2</t>
  </si>
  <si>
    <t>OJK10.3</t>
  </si>
  <si>
    <t>OJK10.4</t>
  </si>
  <si>
    <t>OJK11.1</t>
  </si>
  <si>
    <t>IF OJK11_1=1</t>
  </si>
  <si>
    <t>OJK11.2</t>
  </si>
  <si>
    <t>IF OJK11_2=1</t>
  </si>
  <si>
    <t>OJK11.3</t>
  </si>
  <si>
    <t>OJK12.1</t>
  </si>
  <si>
    <t>IF OJK12_1=1</t>
  </si>
  <si>
    <t>OJK12.2</t>
  </si>
  <si>
    <t>IF OJK12_2=1</t>
  </si>
  <si>
    <t>OJK12.3</t>
  </si>
  <si>
    <t>OJK13.1</t>
  </si>
  <si>
    <t>OJK13.2</t>
  </si>
  <si>
    <t>OJK13.3</t>
  </si>
  <si>
    <t>OJK14.1</t>
  </si>
  <si>
    <t>1=In the past 30 days
2=Between 30 days and 90 days
3=Between 90 days and 6 months
4=Between 6 months and 1 year
5=Betweeen 1 year and 2 years
6=More than 2 years</t>
  </si>
  <si>
    <t>OJK14.2</t>
  </si>
  <si>
    <t>OJK14.3</t>
  </si>
  <si>
    <t>OJK14.4</t>
  </si>
  <si>
    <t>OJK14.5</t>
  </si>
  <si>
    <t>OJK14.6</t>
  </si>
  <si>
    <t>OJK14.7</t>
  </si>
  <si>
    <t>OJK14.8</t>
  </si>
  <si>
    <t>OJK14.9</t>
  </si>
  <si>
    <t>OJK14.10</t>
  </si>
  <si>
    <t>OJK14.12</t>
  </si>
  <si>
    <t>OJK14.13</t>
  </si>
  <si>
    <t>OJK15.1</t>
  </si>
  <si>
    <t>OJK15.2</t>
  </si>
  <si>
    <t>OJK15.3</t>
  </si>
  <si>
    <t>OJK15.4</t>
  </si>
  <si>
    <t>OJK15.5</t>
  </si>
  <si>
    <t>OJK15.6</t>
  </si>
  <si>
    <t>OJK15.7</t>
  </si>
  <si>
    <t>OJK15.8</t>
  </si>
  <si>
    <t>OJK15.9</t>
  </si>
  <si>
    <t>OJK15.10</t>
  </si>
  <si>
    <t>OJK16.1</t>
  </si>
  <si>
    <t>OJK16.2</t>
  </si>
  <si>
    <t>OJK16.3</t>
  </si>
  <si>
    <t>OJK16.4</t>
  </si>
  <si>
    <t>OJK18.1</t>
  </si>
  <si>
    <t>OJK18.2</t>
  </si>
  <si>
    <t>OJK19.1</t>
  </si>
  <si>
    <t>OJK19.2</t>
  </si>
  <si>
    <t>OJK19.3</t>
  </si>
  <si>
    <t>OJK20.1</t>
  </si>
  <si>
    <t>OJK20.2</t>
  </si>
  <si>
    <t>IF OJK7_2=1 OR OJK7_3=1</t>
  </si>
  <si>
    <t>OJK21.1</t>
  </si>
  <si>
    <t>OJK22.1</t>
  </si>
  <si>
    <t>IF OJK9_1=1</t>
  </si>
  <si>
    <t>OJK22.2</t>
  </si>
  <si>
    <t>IF OJK9_2=1</t>
  </si>
  <si>
    <t>OJK23.1</t>
  </si>
  <si>
    <t>IF OJK10_1=1</t>
  </si>
  <si>
    <t>OJK23.2</t>
  </si>
  <si>
    <t>IF OJK10_2=1</t>
  </si>
  <si>
    <t>OJK23.3</t>
  </si>
  <si>
    <t>IF OJK10_3=1</t>
  </si>
  <si>
    <t>OJK24.1</t>
  </si>
  <si>
    <t>OJK24.2</t>
  </si>
  <si>
    <t>OJK25.1</t>
  </si>
  <si>
    <t>OJK25.2</t>
  </si>
  <si>
    <t>OJK26.1</t>
  </si>
  <si>
    <t>IF OJK13_1=1</t>
  </si>
  <si>
    <t>OJK26.2</t>
  </si>
  <si>
    <t>IF OJK13_2=1</t>
  </si>
  <si>
    <t>FNX</t>
  </si>
  <si>
    <t>FNXH</t>
  </si>
  <si>
    <t>IF FNX=2</t>
  </si>
  <si>
    <t>FNXA</t>
  </si>
  <si>
    <t>IF FNX=1</t>
  </si>
  <si>
    <t>GF1</t>
  </si>
  <si>
    <t>GF2</t>
  </si>
  <si>
    <t>BI.E1A</t>
  </si>
  <si>
    <t>BI.E1B</t>
  </si>
  <si>
    <t>BI.E1C</t>
  </si>
  <si>
    <t>BI.E1D</t>
  </si>
  <si>
    <t>BI.E1V</t>
  </si>
  <si>
    <t>BI.E1V.96</t>
  </si>
  <si>
    <t>IF BI_E1V=1</t>
  </si>
  <si>
    <t>BI.E2A.A</t>
  </si>
  <si>
    <t>IF BI_E1A=2</t>
  </si>
  <si>
    <t>BI.E2A.B</t>
  </si>
  <si>
    <t>BI.E2A.C</t>
  </si>
  <si>
    <t>BI.E2A.D</t>
  </si>
  <si>
    <t>BI.E2A.E</t>
  </si>
  <si>
    <t>BI.E2A.F</t>
  </si>
  <si>
    <t>BI.E2A.G</t>
  </si>
  <si>
    <t>BI.E2A.H</t>
  </si>
  <si>
    <t>BI.E2A.I</t>
  </si>
  <si>
    <t>BI.E2A.J</t>
  </si>
  <si>
    <t>BI.E2A.K</t>
  </si>
  <si>
    <t>BI.E2A.L</t>
  </si>
  <si>
    <t>BI.E2A.V</t>
  </si>
  <si>
    <t>BI.E2A.V.96</t>
  </si>
  <si>
    <t>IF BI_E2A_V=1</t>
  </si>
  <si>
    <t>BI.E2B.A</t>
  </si>
  <si>
    <t>BI.E2B.B</t>
  </si>
  <si>
    <t>BI.E2B.C</t>
  </si>
  <si>
    <t>BI.E2B.D</t>
  </si>
  <si>
    <t>BI.E2B.E</t>
  </si>
  <si>
    <t>BI.E2B.F</t>
  </si>
  <si>
    <t>BI.E2B.G</t>
  </si>
  <si>
    <t>BI.E2B.H</t>
  </si>
  <si>
    <t>BI.E2B.I</t>
  </si>
  <si>
    <t>BI.E2B.J</t>
  </si>
  <si>
    <t>BI.E2B.K</t>
  </si>
  <si>
    <t>BI.E2B.L</t>
  </si>
  <si>
    <t>BI.E2B.V</t>
  </si>
  <si>
    <t>BI.E2B.V.96</t>
  </si>
  <si>
    <t>IF BI_E2B_V=1</t>
  </si>
  <si>
    <t>BI.E2C.A</t>
  </si>
  <si>
    <t>BI.E2C.B</t>
  </si>
  <si>
    <t>BI.E2C.C</t>
  </si>
  <si>
    <t>BI.E2C.D</t>
  </si>
  <si>
    <t>BI.E2C.E</t>
  </si>
  <si>
    <t>BI.E2C.F</t>
  </si>
  <si>
    <t>BI.E2C.G</t>
  </si>
  <si>
    <t>BI.E2C.H</t>
  </si>
  <si>
    <t>BI.E2C.I</t>
  </si>
  <si>
    <t>BI.E2C.J</t>
  </si>
  <si>
    <t>BI.E2C.K</t>
  </si>
  <si>
    <t>BI.E2C.L</t>
  </si>
  <si>
    <t>BI.E2C.V</t>
  </si>
  <si>
    <t>BI.E2C.V.96</t>
  </si>
  <si>
    <t>BI.E2D.A</t>
  </si>
  <si>
    <t>IF BI_E1D=2</t>
  </si>
  <si>
    <t>BI.E2D.B</t>
  </si>
  <si>
    <t>BI.E2D.C</t>
  </si>
  <si>
    <t>BI.E2D.D</t>
  </si>
  <si>
    <t>BI.E2D.E</t>
  </si>
  <si>
    <t>BI.E2D.F</t>
  </si>
  <si>
    <t>BI.E2D.G</t>
  </si>
  <si>
    <t>BI.E2D.H</t>
  </si>
  <si>
    <t>BI.E2D.I</t>
  </si>
  <si>
    <t>BI.E2D.J</t>
  </si>
  <si>
    <t>BI.E2D.K</t>
  </si>
  <si>
    <t>BI.E2D.L</t>
  </si>
  <si>
    <t>BI.E2D.V</t>
  </si>
  <si>
    <t>BI.E2D.V.96</t>
  </si>
  <si>
    <t>IF BI_E2D_V=1</t>
  </si>
  <si>
    <t>IF BI_E1A=1</t>
  </si>
  <si>
    <t>BI.E4S</t>
  </si>
  <si>
    <t>BI.E5S</t>
  </si>
  <si>
    <t>IF BI_E4S=1</t>
  </si>
  <si>
    <t>BI.E6S</t>
  </si>
  <si>
    <t>IF BI_E5S=2</t>
  </si>
  <si>
    <t>BI.E7SA</t>
  </si>
  <si>
    <t>IF BI_E6S=2</t>
  </si>
  <si>
    <t>BI.E7SB</t>
  </si>
  <si>
    <t>BI.E7SC</t>
  </si>
  <si>
    <t>BI.E7SD</t>
  </si>
  <si>
    <t>BI.E7SE</t>
  </si>
  <si>
    <t>BI.E7SF</t>
  </si>
  <si>
    <t>BI.E7SV</t>
  </si>
  <si>
    <t>BI.E7SV.96</t>
  </si>
  <si>
    <t>IF BI_E7SV=1</t>
  </si>
  <si>
    <t>BI.E8S</t>
  </si>
  <si>
    <t>IF BI_E5S=1 OR BI_E6S=1</t>
  </si>
  <si>
    <t>BI.E9A</t>
  </si>
  <si>
    <t>BI.E9B</t>
  </si>
  <si>
    <t>BI.E9C</t>
  </si>
  <si>
    <t>BI.E9V</t>
  </si>
  <si>
    <t>BI.E9V.96</t>
  </si>
  <si>
    <t>IF BI_E9V=1</t>
  </si>
  <si>
    <t>BI.E10A</t>
  </si>
  <si>
    <t>NA</t>
  </si>
  <si>
    <t>IF BI_E9A=1</t>
  </si>
  <si>
    <t>BI.E10B</t>
  </si>
  <si>
    <t>IF BI_E9B=1</t>
  </si>
  <si>
    <t>BI.E10C</t>
  </si>
  <si>
    <t>IF BI_E9C=1</t>
  </si>
  <si>
    <t>BI.E10V</t>
  </si>
  <si>
    <t>BI.E11A</t>
  </si>
  <si>
    <t>BI.E11B</t>
  </si>
  <si>
    <t>BI.E11C</t>
  </si>
  <si>
    <t>BI.E11V</t>
  </si>
  <si>
    <t>BI.E11V.96</t>
  </si>
  <si>
    <t>IF BI_E11V=1</t>
  </si>
  <si>
    <t>BI.E12A</t>
  </si>
  <si>
    <t>IF BI_E11A=1</t>
  </si>
  <si>
    <t>BI.E12B</t>
  </si>
  <si>
    <t>IF BI_E11B=1</t>
  </si>
  <si>
    <t>BI.E12C</t>
  </si>
  <si>
    <t>IF BI_E11C=1</t>
  </si>
  <si>
    <t>BI.E12V</t>
  </si>
  <si>
    <t>BI.E13</t>
  </si>
  <si>
    <t>BI.E14</t>
  </si>
  <si>
    <t>BI.E16A</t>
  </si>
  <si>
    <t>IF BI_E14=2</t>
  </si>
  <si>
    <t>BI.E16B</t>
  </si>
  <si>
    <t>1=Yes, always
2=Yes, sometimes
3=No</t>
  </si>
  <si>
    <t>IF BI_E16A=1 OR BI_E14=1</t>
  </si>
  <si>
    <t>BI.E16C</t>
  </si>
  <si>
    <t>BI.E17</t>
  </si>
  <si>
    <t>BI.E17.96</t>
  </si>
  <si>
    <t>IF BI_E17=1</t>
  </si>
  <si>
    <t>BI.E18A</t>
  </si>
  <si>
    <t>IF BI_E17=2</t>
  </si>
  <si>
    <t>BI.E18.96</t>
  </si>
  <si>
    <t>IF BI_E18A=1</t>
  </si>
  <si>
    <t>BI.E18C</t>
  </si>
  <si>
    <t>IF BI_E18A=1 OR BI_E17=1</t>
  </si>
  <si>
    <t>IF BI_E14=1 OR BI_E16A=1 OR BI_E17=1 OR BI_E18A=1</t>
  </si>
  <si>
    <t>BI.E20</t>
  </si>
  <si>
    <t>1=Saya meminjam jika saya membutuhkan atau memerlukan 
2=Saya meminjam, jika ada yang menawarkan pinjaman meskipun
saya tidak membutuhkan atau memerlukan</t>
  </si>
  <si>
    <t>BI.E21</t>
  </si>
  <si>
    <t>1=Saya akan meminjam sesuai dengan kemampuan dan tidak akan
meminjam melebihi dari kemampuan membayar
2=Saya dapat meminjam melebihi dari kemampuan membayar</t>
  </si>
  <si>
    <t>BI.E22</t>
  </si>
  <si>
    <t>1=Less than or equal to 1 month of income
2=More than 1 up to 12 month(s) of income
3=More than 12 months of income
4=Don’t have any debt/loan</t>
  </si>
  <si>
    <t>BI.E23</t>
  </si>
  <si>
    <t>1=Don’t need one
2=Don’t believe in the products and services
3=Don’t have any collateral
4=Don’t have any guarantor
5=Don’t have required documents
6=Don’t have enough information regarding loan products
7=Loan interest rates are too high
8=The financial services office is too far
9=Bank officers don’t provide a good services
10=Worries of not being able to repay the loan
96=Other</t>
  </si>
  <si>
    <t>IF BI_E16A=2 AND BI_E18A=2</t>
  </si>
  <si>
    <t>BI.E23.96</t>
  </si>
  <si>
    <t>IF BI_E23=96</t>
  </si>
  <si>
    <t>BI.E24A</t>
  </si>
  <si>
    <t>BI.E24B</t>
  </si>
  <si>
    <t>BI.E24C</t>
  </si>
  <si>
    <t>BI.E25A</t>
  </si>
  <si>
    <t>IF BI_E24A=1</t>
  </si>
  <si>
    <t>BI.E25B</t>
  </si>
  <si>
    <t>IF BI_E24B=1</t>
  </si>
  <si>
    <t>BI.E25C</t>
  </si>
  <si>
    <t>IF BI_E24C=1</t>
  </si>
  <si>
    <t>BI.E26C</t>
  </si>
  <si>
    <t>BI.E27A</t>
  </si>
  <si>
    <t>BI.E27B</t>
  </si>
  <si>
    <t>BI.E27C</t>
  </si>
  <si>
    <t>IF BI_E26C=1</t>
  </si>
  <si>
    <t>BI.E28A.A</t>
  </si>
  <si>
    <t>BI.E28A.B</t>
  </si>
  <si>
    <t>BI.E28A.C</t>
  </si>
  <si>
    <t>BI.E28A.D</t>
  </si>
  <si>
    <t>BI.E28A.V</t>
  </si>
  <si>
    <t>BI.E28A.V.96</t>
  </si>
  <si>
    <t>IF BI_E28A_V=1</t>
  </si>
  <si>
    <t>BI.E28B.A</t>
  </si>
  <si>
    <t>BI.E28B.B</t>
  </si>
  <si>
    <t>BI.E28B.C</t>
  </si>
  <si>
    <t>BI.E28B.D</t>
  </si>
  <si>
    <t>BI.E28B.V</t>
  </si>
  <si>
    <t>BI.E28B.V.96</t>
  </si>
  <si>
    <t>IF BI_E28B_V=1</t>
  </si>
  <si>
    <t>BI.E28C.A</t>
  </si>
  <si>
    <t>BI.E28C.C</t>
  </si>
  <si>
    <t>BI.E28C.V</t>
  </si>
  <si>
    <t>BI.E28C.V.96</t>
  </si>
  <si>
    <t>IF BI_E28C_V=1</t>
  </si>
  <si>
    <t>1=In the past 30 days
2=Between 30 days and 90 days
3=Between 90 days and 6 months
4=Between 6 months and 1 year
5=Betweeen 1 year and 2 years
6=More than 2 years
7=Never</t>
  </si>
  <si>
    <t>IF BI_E26D=1</t>
  </si>
  <si>
    <t>BI.E32A</t>
  </si>
  <si>
    <t>BI.E33A</t>
  </si>
  <si>
    <t>IF BI_E26C=1 OR BI_E26D=1</t>
  </si>
  <si>
    <t>BI.E33B</t>
  </si>
  <si>
    <t>BI.E33C</t>
  </si>
  <si>
    <t>BI.E33D</t>
  </si>
  <si>
    <t>BI.E33E</t>
  </si>
  <si>
    <t>BI.E33V</t>
  </si>
  <si>
    <t>BI.E33V.96</t>
  </si>
  <si>
    <t>IF BI_E33V=1</t>
  </si>
  <si>
    <t>BI.E34A</t>
  </si>
  <si>
    <t>BI.E34B</t>
  </si>
  <si>
    <t>FL12</t>
  </si>
  <si>
    <t>FL13</t>
  </si>
  <si>
    <t>FL16</t>
  </si>
  <si>
    <t>FL18</t>
  </si>
  <si>
    <t>GN1</t>
  </si>
  <si>
    <t>1=Very uninvolved
2=Somewhat uninvolved
3=Neither uninvolved, nor involved
4=Somewhat involved
5=Very involved
-3=REF [DO NOT READ]
-2=DK [DO NOT READ]</t>
  </si>
  <si>
    <t>GN2</t>
  </si>
  <si>
    <t>GN3</t>
  </si>
  <si>
    <t>GN4</t>
  </si>
  <si>
    <t>1=None
2=A little
3=A fair amount
4=Most
5=Almost all
-3=REF [DO NOT READ]
-2=DK [DO NOT READ]</t>
  </si>
  <si>
    <t>GN5</t>
  </si>
  <si>
    <t>1=Very unlikely
2=Somewhat unlikely
3=Neither unlikely, nor likely
4=Somewhat likely
5=Very likely
-3=REF [DO NOT READ]
-2=DK [DO NOT READ]</t>
  </si>
  <si>
    <t>GN6</t>
  </si>
  <si>
    <t>GN7</t>
  </si>
  <si>
    <t>GN8</t>
  </si>
  <si>
    <t>MT12.1</t>
  </si>
  <si>
    <t>MT12.2</t>
  </si>
  <si>
    <t>MT12.3</t>
  </si>
  <si>
    <t>MT12.4</t>
  </si>
  <si>
    <t>MT12.5</t>
  </si>
  <si>
    <t>MT12.7</t>
  </si>
  <si>
    <t>MT12.8</t>
  </si>
  <si>
    <t>MT15</t>
  </si>
  <si>
    <t>1=Yes
2=No
-3=REF [DO NOT READ]</t>
  </si>
  <si>
    <t>MT17.1</t>
  </si>
  <si>
    <t xml:space="preserve">1=Today
2=In the past 7 days
3=In the past 30 days
4=In the past 90 days
5=Between 90 days and 1 year
6=More than 1 year
7=Never </t>
  </si>
  <si>
    <t>MT17.2</t>
  </si>
  <si>
    <t>MT17.3</t>
  </si>
  <si>
    <t>MT17.4</t>
  </si>
  <si>
    <t>MT17.5</t>
  </si>
  <si>
    <t>MT18A.1</t>
  </si>
  <si>
    <t>1=No ability
2=A little ability
3=Some ability
4=Complete ability
-2=DK [DO NOT READ]</t>
  </si>
  <si>
    <t>MT18A.2</t>
  </si>
  <si>
    <t>MT18A.3</t>
  </si>
  <si>
    <t>MT18A.4</t>
  </si>
  <si>
    <t>MT18A.5</t>
  </si>
  <si>
    <t>MT18A.6</t>
  </si>
  <si>
    <t>1=Yes
2=No
-2=DK [DO NOT READ]</t>
  </si>
  <si>
    <t>1=Less than .5 km
2=Between .5 km and 1km
3=Between 1km and 5km
4=More than 5km 
-2=DK [DO NOT READ]</t>
  </si>
  <si>
    <t>IFI15.1A</t>
  </si>
  <si>
    <t>1=Minutes
2=Hours
-2=DK [DO NOT READ]</t>
  </si>
  <si>
    <t>IFI15.1B</t>
  </si>
  <si>
    <t>IF IFI15_1A&gt;0</t>
  </si>
  <si>
    <t>IFI15.2A</t>
  </si>
  <si>
    <t>IFI15.2B</t>
  </si>
  <si>
    <t>IF IFI15_2A&gt;0</t>
  </si>
  <si>
    <t>IFI15.3A</t>
  </si>
  <si>
    <t>IFI15.3B</t>
  </si>
  <si>
    <t>IF IFI15_3A&gt;0</t>
  </si>
  <si>
    <t>IFI15.4A</t>
  </si>
  <si>
    <t>IFI15.4B</t>
  </si>
  <si>
    <t>IF IFI15_4A&gt;0</t>
  </si>
  <si>
    <t>IFI15.5A</t>
  </si>
  <si>
    <t>IFI15.5B</t>
  </si>
  <si>
    <t>IF IFI15_5A&gt;0</t>
  </si>
  <si>
    <t>IFI15.6A</t>
  </si>
  <si>
    <t>IFI15.6B</t>
  </si>
  <si>
    <t>IF IFI15_6A&gt;0</t>
  </si>
  <si>
    <t>IFI15.7A</t>
  </si>
  <si>
    <t>IFI15.7B</t>
  </si>
  <si>
    <t>IF IFI15_6A&gt;1</t>
  </si>
  <si>
    <t>IFI15.8A</t>
  </si>
  <si>
    <t>IFI15.8B</t>
  </si>
  <si>
    <t>IF IFI15_7A&gt;0</t>
  </si>
  <si>
    <t>IFI15.9A</t>
  </si>
  <si>
    <t>IFI15.9B</t>
  </si>
  <si>
    <t>IF IFI15_8A&gt;0</t>
  </si>
  <si>
    <t>IFI15.10A</t>
  </si>
  <si>
    <t>IFI15.10B</t>
  </si>
  <si>
    <t>IF IFI15_9A&gt;0</t>
  </si>
  <si>
    <t>LN1</t>
  </si>
  <si>
    <t>LN1.Can you read this text for me, please? (Reading - Bahasa)</t>
  </si>
  <si>
    <t>1=Respondent read the informed consent form fluently and without any help from the interviewer
2=Respondent read the informed consent form well but had a little help from the interviewer
3=Respondent struggled to read the informed consent form and had a lot of help from the interviewer
4=Respondent was unable to read the consent form and requested the interviewer read it to them</t>
  </si>
  <si>
    <t>LN2.1</t>
  </si>
  <si>
    <t>1= Cannot do this at all
2= Very badly
3= Somewhat badly
4= Good
5= Excellent</t>
  </si>
  <si>
    <t>LN2.2</t>
  </si>
  <si>
    <t>1=Cannot do this at all
2=Very badly
3=Somewhat badly
4=Good
5=Excellent</t>
  </si>
  <si>
    <t>RI4</t>
  </si>
  <si>
    <t>RI5.1</t>
  </si>
  <si>
    <t>RI5.2</t>
  </si>
  <si>
    <t>RI5.3</t>
  </si>
  <si>
    <t>HH1</t>
  </si>
  <si>
    <t>1=Completed
2=No household member or no competent respondent at home at time of visit
3=Entire household absent for extended period of time
4=Refused
5=Dwelling vacant / Address not a dwelling
6=Dwelling destroyed
7=Dwelling not found
96=Other (Specify) </t>
  </si>
  <si>
    <t>HH2</t>
  </si>
  <si>
    <t xml:space="preserve">1=Completed
2=Not at home at time of visit 
3=Refused
4=Incapacitated
96=Other (Specify) </t>
  </si>
  <si>
    <t>Bank</t>
  </si>
  <si>
    <t>Insurance</t>
  </si>
  <si>
    <t>Financing company/multifinance</t>
  </si>
  <si>
    <t>Venture capital</t>
  </si>
  <si>
    <t>Pension fund</t>
  </si>
  <si>
    <t>Pawnshop</t>
  </si>
  <si>
    <t>Stock or securities company</t>
  </si>
  <si>
    <t>Investment manager/asset management company</t>
  </si>
  <si>
    <t>Social Security Administrator Body (BPJS)</t>
  </si>
  <si>
    <t>PT POS</t>
  </si>
  <si>
    <t>Microfinance institution</t>
  </si>
  <si>
    <t>Cooperative</t>
  </si>
  <si>
    <t>Sharia microfinance (e.g. BMT, KJKS)</t>
  </si>
  <si>
    <t>Bank savings</t>
  </si>
  <si>
    <t>Life Insurance</t>
  </si>
  <si>
    <t>Investment in shares</t>
  </si>
  <si>
    <t>Defined Benefit Pension Program (PPMP)</t>
  </si>
  <si>
    <t>Loan with collateral</t>
  </si>
  <si>
    <t>Mutual Funds/Reksa Dana</t>
  </si>
  <si>
    <t>Health benefit</t>
  </si>
  <si>
    <t>Tabungan atau giro</t>
  </si>
  <si>
    <t>Savings/Deposits</t>
  </si>
  <si>
    <t>Bank deposit</t>
  </si>
  <si>
    <t>Unit Link / Bancasurrance</t>
  </si>
  <si>
    <t>Convertible Bonds</t>
  </si>
  <si>
    <t>Defined Contribution Pension Program (PPIP)</t>
  </si>
  <si>
    <t>Loan with fiduciary</t>
  </si>
  <si>
    <t>Bonds (e.g. Indonesian Retail Bonds (ORI))</t>
  </si>
  <si>
    <t>Another product or service that I didn't mention</t>
  </si>
  <si>
    <t>Employment benefit</t>
  </si>
  <si>
    <t>Pembayaran tagihan atau angsuran</t>
  </si>
  <si>
    <t>Loan</t>
  </si>
  <si>
    <t>Loan/financing</t>
  </si>
  <si>
    <t>Bank current account</t>
  </si>
  <si>
    <t>Education Insurance</t>
  </si>
  <si>
    <t>Loan with profit sharing</t>
  </si>
  <si>
    <t>Gold/precious metals investment</t>
  </si>
  <si>
    <t>Indonesian Retail Islamic Bonds (Sukri)</t>
  </si>
  <si>
    <t>bought, sold or received a dividend from mutual funds from an investment manager/asset management company</t>
  </si>
  <si>
    <t>received payment from BPJS health</t>
  </si>
  <si>
    <t>Remitansi (pengiriman dan penerimaan uang) </t>
  </si>
  <si>
    <t>Bank transfer</t>
  </si>
  <si>
    <t>Health Insurance</t>
  </si>
  <si>
    <t>received a payment from or made a contribution to a defined benefit pension program (PPMP)</t>
  </si>
  <si>
    <t/>
  </si>
  <si>
    <t>received payment from BPJS employment</t>
  </si>
  <si>
    <t>put money in savings/deposits at a microfinance institution (Lembaga Keuangan Mikro)</t>
  </si>
  <si>
    <t>put money in savings/deposits using a cooperative</t>
  </si>
  <si>
    <t>put money in savings/deposits at a sharia microfinance (e.g. BMT, KJKS)</t>
  </si>
  <si>
    <t>Bank loan/financing with collateral</t>
  </si>
  <si>
    <t>Vehicle Insurance</t>
  </si>
  <si>
    <t>used venture capital to buy or sell shares</t>
  </si>
  <si>
    <t>received a payment from or made a contribution to a defined contribution pension program (PPIP)</t>
  </si>
  <si>
    <t>used a pawnshop for a loan with collateral</t>
  </si>
  <si>
    <t>bought or sold shares or received a dividend from shares</t>
  </si>
  <si>
    <t>tabungan atau giro</t>
  </si>
  <si>
    <t>took a loan or made a payment on a loan at a microfinance institution (Lembaga Keuangan Mikro)</t>
  </si>
  <si>
    <t>took a loan or made a payment on a loan at a cooperative</t>
  </si>
  <si>
    <t>took a loan or made a payment on a loan at a sharia microfinance (e.g. BMT, KJKS)</t>
  </si>
  <si>
    <t>Bank loan/financing without collateral (e.g. vehicle loans and credit cards)</t>
  </si>
  <si>
    <t>Accident Insurance</t>
  </si>
  <si>
    <t>received financing or paid an installment for vehicle financing/leasing from a financing company/multifinance</t>
  </si>
  <si>
    <t>used venture capital to buy or sell convertible bonds</t>
  </si>
  <si>
    <t>used a pawnshop for a loan with a fiduciary</t>
  </si>
  <si>
    <t>bought or sold bonds/islamic bonds (e.g. Indonesian retail bonds (ORI)/Indonesian retail islamic bonds (sukri)</t>
  </si>
  <si>
    <t>pembayaran tagihan atau angsuran</t>
  </si>
  <si>
    <t>Bank micro credit program (KUR)</t>
  </si>
  <si>
    <t>Fire Insurance</t>
  </si>
  <si>
    <t>received financing or paid an installment for agricultural machinery and equipment financing from a financing company/multifinance</t>
  </si>
  <si>
    <t>used venture capital for profit sharing</t>
  </si>
  <si>
    <t>used a pawnshop for a gold/precious metals investment</t>
  </si>
  <si>
    <t>remitansi (pengiriman dan penerimaan uang) </t>
  </si>
  <si>
    <t>Bank housing/apartment loan</t>
  </si>
  <si>
    <t>Travel Insurance</t>
  </si>
  <si>
    <t>received financing or paid an installment for electronics and households appliance financing from a financing company/multifinance</t>
  </si>
  <si>
    <t>Bank micro loan/financing</t>
  </si>
  <si>
    <t>Agricultural/Fisherman/Livestock Insurance</t>
  </si>
  <si>
    <t>received another lease or paid an installment for another lease (finance lease) from a financing company/multifinance</t>
  </si>
  <si>
    <t>Bank vehicle loan/financing</t>
  </si>
  <si>
    <t xml:space="preserve">Micro Insurance (Maximum insurance coverage Rp. 50 million, maximum insurance premium Rp. 50,000)                                                                                                                                   </t>
  </si>
  <si>
    <t>Bank electronic money (issued by bank)</t>
  </si>
  <si>
    <t>Another insurance product or service that I didn't mention</t>
  </si>
  <si>
    <t>Bank fiduciary/rahn</t>
  </si>
  <si>
    <t>paid an insurance premium or received a claim settlement from life insurance</t>
  </si>
  <si>
    <t>Bank lease/ijarah</t>
  </si>
  <si>
    <t>paid an insurance premium or received a claim settlement from unit link / bancasurrance</t>
  </si>
  <si>
    <t>Another bank product or service that I didn't mention</t>
  </si>
  <si>
    <t>paid an insurance premium or received a claim settlement from education insurance</t>
  </si>
  <si>
    <t>put money in savings with a bank</t>
  </si>
  <si>
    <t>paid an insurance premium or received a claim settlement health insurance</t>
  </si>
  <si>
    <t>put money in a time deposit account with a bank</t>
  </si>
  <si>
    <t>paid an insurance premium or received a claim settlement from vehicle insurance</t>
  </si>
  <si>
    <t>used a current account at a bank</t>
  </si>
  <si>
    <t>paid an insurance premium or received a claim settlement from accident insurance</t>
  </si>
  <si>
    <t>made a transfer using a bank</t>
  </si>
  <si>
    <t>paid an insurance premium or received a claim settlement from fire insurance</t>
  </si>
  <si>
    <t>took a loan with collateral or paid an installment on a loan/financing with collateral from a bank</t>
  </si>
  <si>
    <t>paid an insurance premium or received a claim settlement from travel insurance</t>
  </si>
  <si>
    <t>took a loan/financing without collateral or paid an installment on a loan/financing without collateral from a bank (e.g. vehicle loans and credit cards)</t>
  </si>
  <si>
    <t>paid an insurance premium or received a claim settlement from agricultural/fisherman/livestock insurance</t>
  </si>
  <si>
    <t>took a loan from or paid an installment to a micro credit program (KUR) from a bank</t>
  </si>
  <si>
    <t>paid an insurance premium or received a claim settlement from micro insurance (maximum insurance coverage rp. 50 million, maximum insurance premium rp. 50,000)</t>
  </si>
  <si>
    <t>took a housing/apartment loan or paid an installment on a housing/apartment loan from a bank</t>
  </si>
  <si>
    <t>took a micro loan/financing or paid an installment on a micro loan/financing from a bank</t>
  </si>
  <si>
    <t>took a vehicle loan or paid and installment on a vehicle loan/financing from a bank</t>
  </si>
  <si>
    <t>Electronic Money (issued by bank)</t>
  </si>
  <si>
    <t>used a fiduciary/Rahn</t>
  </si>
  <si>
    <t>got a lease/Ijarah or paid for a lease/Ijarah</t>
  </si>
  <si>
    <t>Value</t>
  </si>
  <si>
    <t>Labels</t>
  </si>
  <si>
    <t>To survive</t>
  </si>
  <si>
    <t>To meet the basic daily needs</t>
  </si>
  <si>
    <t xml:space="preserve"> </t>
  </si>
  <si>
    <t>To fulfill healthcare cost</t>
  </si>
  <si>
    <t>To pay education fees for myself</t>
  </si>
  <si>
    <t>To pay education fees for my children</t>
  </si>
  <si>
    <t>To pay monthly bills</t>
  </si>
  <si>
    <t>To pay off debt</t>
  </si>
  <si>
    <t>To buy a vehicle</t>
  </si>
  <si>
    <t>To buy a house</t>
  </si>
  <si>
    <t>To have comfortable retirement</t>
  </si>
  <si>
    <t>To develop a business</t>
  </si>
  <si>
    <t>To sponsor religious activities</t>
  </si>
  <si>
    <t>To make non-financial investments</t>
  </si>
  <si>
    <t>To make financial investments</t>
  </si>
  <si>
    <t>To provide emergency funds</t>
  </si>
  <si>
    <t>To manage/mitigate risk</t>
  </si>
  <si>
    <t>To improve the quality of life</t>
  </si>
  <si>
    <t>To increase lifestyle</t>
  </si>
  <si>
    <t>Other</t>
  </si>
  <si>
    <t>REF [DO NOT READ]</t>
  </si>
  <si>
    <t>DK [DO NOT READ]</t>
  </si>
  <si>
    <t>E1</t>
  </si>
  <si>
    <t>E2</t>
  </si>
  <si>
    <t>E7</t>
  </si>
  <si>
    <t>E7A</t>
  </si>
  <si>
    <t>E9,E10,E11,E12</t>
  </si>
  <si>
    <t>E15</t>
  </si>
  <si>
    <t>E24,E25,E26,E27</t>
  </si>
  <si>
    <t>E28</t>
  </si>
  <si>
    <t>E29,E30</t>
  </si>
  <si>
    <t>E31,E32</t>
  </si>
  <si>
    <t>E33</t>
  </si>
  <si>
    <t>E34</t>
  </si>
  <si>
    <t>E40,E41,E42.1</t>
  </si>
  <si>
    <t>E42.1</t>
  </si>
  <si>
    <t>E43,E45,E46,E47</t>
  </si>
  <si>
    <t>E44</t>
  </si>
  <si>
    <t>E48</t>
  </si>
  <si>
    <t>E49</t>
  </si>
  <si>
    <t>E53</t>
  </si>
  <si>
    <t>E54</t>
  </si>
  <si>
    <t>E61</t>
  </si>
  <si>
    <t>E66</t>
  </si>
  <si>
    <t>E68</t>
  </si>
  <si>
    <t>FS1</t>
  </si>
  <si>
    <t>FM6INSUTITUTION</t>
  </si>
  <si>
    <t>FM6SERVICES</t>
  </si>
  <si>
    <t>FM11</t>
  </si>
  <si>
    <t>Bank Savings Account</t>
  </si>
  <si>
    <t>Religion</t>
  </si>
  <si>
    <t>Don’t need one</t>
  </si>
  <si>
    <t>Teller (Bank Counter)</t>
  </si>
  <si>
    <t>ATM Card / Debit Card</t>
  </si>
  <si>
    <t>To make a purchase</t>
  </si>
  <si>
    <t>Flazz (BCA)</t>
  </si>
  <si>
    <t>Go-Pay</t>
  </si>
  <si>
    <t>ATM</t>
  </si>
  <si>
    <t>Individual</t>
  </si>
  <si>
    <t>Post Office</t>
  </si>
  <si>
    <t>Bank (Commercial Bank or BPR)</t>
  </si>
  <si>
    <t>Financial institutions provide the services in your residence area (such as: numbers of ATM, branch offices, unit offices, DFS agent, etc..)</t>
  </si>
  <si>
    <t>Lower administrative costs</t>
  </si>
  <si>
    <t>Service time needs to be increased (additional service hours and service days especially on holidays).</t>
  </si>
  <si>
    <t>STOP USING THE FINANCIAL PRODUCTS BEFORE CONTRACT ENDING (CLOSING DEPOSIT OR SAVINGS  ACCOUNT, SELLING STOCK UNITS, CANCELING INSURANCE CONTRACTS, ETC)</t>
  </si>
  <si>
    <t>THE APPLICABLE LAWS ARE LACK TO PROTECT THE CONSUMERS</t>
  </si>
  <si>
    <t>From service provider</t>
  </si>
  <si>
    <t>Reading the newspaper</t>
  </si>
  <si>
    <t>YOUR SPOUSE</t>
  </si>
  <si>
    <t>Interest/profit sharings (loans/savings)</t>
  </si>
  <si>
    <t>BANK</t>
  </si>
  <si>
    <t> Savings</t>
  </si>
  <si>
    <t>Before I buy anything, I consider carefully whether I can buy something</t>
  </si>
  <si>
    <t>Bank Current Account</t>
  </si>
  <si>
    <t>Don’t believe in TabunganKu product</t>
  </si>
  <si>
    <t>Don’t believe in BSA product</t>
  </si>
  <si>
    <t>Cooperative (Credit Union)</t>
  </si>
  <si>
    <t>Credit Cards (Primary and Complement Card)</t>
  </si>
  <si>
    <t>Cash Withdrawal</t>
  </si>
  <si>
    <t>BRIzzi (BRI)</t>
  </si>
  <si>
    <t>OVO</t>
  </si>
  <si>
    <t>LKD agent</t>
  </si>
  <si>
    <t>Government</t>
  </si>
  <si>
    <t>Western Union or MoneyGram</t>
  </si>
  <si>
    <t>There are various types of financial institutions that serve the community (such as bank, insurance company, money changer, post offices, pawnshop, cooperative, etc.)</t>
  </si>
  <si>
    <t>Guaranteed security</t>
  </si>
  <si>
    <t>Ease of obtaining information through various media owned by financial institutions.</t>
  </si>
  <si>
    <t>MAKE A COMPLAINT TO COMPANIES WHO SELL THE PRODUCTS TO ME.</t>
  </si>
  <si>
    <t>I DON'T KNOW THE GOVERNMENT INSTITUTIONS WHICH CAN BE ASKED FOR HELP </t>
  </si>
  <si>
    <t>From family or friends</t>
  </si>
  <si>
    <t>Listening the radio</t>
  </si>
  <si>
    <t>YOUR FAMILY AND FRIENDS</t>
  </si>
  <si>
    <t>Installment payment (loans)</t>
  </si>
  <si>
    <t>INSURANCE</t>
  </si>
  <si>
    <t> Deposits</t>
  </si>
  <si>
    <t>I am more focused on today than tomorrow</t>
  </si>
  <si>
    <t>Bank Time Deposits</t>
  </si>
  <si>
    <t>Don’t believe in product and service</t>
  </si>
  <si>
    <t>Bank officers don’t provide the information about TabunganKu</t>
  </si>
  <si>
    <t>Bank officers don’t provide the information about BSA</t>
  </si>
  <si>
    <t>Layanan Keuangan Digital (LKD/Laku Pandai Agent</t>
  </si>
  <si>
    <t>Billing Payment</t>
  </si>
  <si>
    <t>E-money, E-toll (Bank Mandiri)</t>
  </si>
  <si>
    <t>T-cash (Telkomsel)</t>
  </si>
  <si>
    <t>Counter (Alfamart, Indomaret, Other Cash Point )</t>
  </si>
  <si>
    <t>Employer</t>
  </si>
  <si>
    <t>Insurance Company</t>
  </si>
  <si>
    <t>Others</t>
  </si>
  <si>
    <t>Clarity of information regarding the benefits, costs and risks of financial products and services</t>
  </si>
  <si>
    <t>Financial institution officers are more informative in explaining the benefits and risks of financial products.</t>
  </si>
  <si>
    <t>APPROACH FINANCIAL PRODUCT PROVIDERS THROUGH FRIENDS AND FAMILIES</t>
  </si>
  <si>
    <t>GOVERNMENT AUTHORITIES DO NOT WORK OPTIMALLY</t>
  </si>
  <si>
    <t xml:space="preserve">From the media (TV, radio, newspaper, billboard, brochure, leaflet) </t>
  </si>
  <si>
    <t>Watching TV</t>
  </si>
  <si>
    <t>SOMEONE AT WORK OR YOUR STAFF</t>
  </si>
  <si>
    <t>Return of Investment</t>
  </si>
  <si>
    <t>PENSION FUND</t>
  </si>
  <si>
    <t> Current Account</t>
  </si>
  <si>
    <t>I feel better spending money than keeping it for a long time</t>
  </si>
  <si>
    <t>Savings with a Cooperative (BMT, Credit Union, KSP, LKM)</t>
  </si>
  <si>
    <t>The financial services office is too far away</t>
  </si>
  <si>
    <t>Bank officers don’t offer the TabunganKu</t>
  </si>
  <si>
    <t>Bank officers don’t offer the BSA</t>
  </si>
  <si>
    <t>another way that I didn't mention</t>
  </si>
  <si>
    <t xml:space="preserve">Financing Company </t>
  </si>
  <si>
    <t>Transfer/Remittance</t>
  </si>
  <si>
    <t>Tap Cash (BNI)</t>
  </si>
  <si>
    <t>XL tunai (XL Axiata)</t>
  </si>
  <si>
    <t>Internet Banking</t>
  </si>
  <si>
    <t>Other that I didn't mention</t>
  </si>
  <si>
    <t>Family/friend</t>
  </si>
  <si>
    <t>Stockbroker</t>
  </si>
  <si>
    <t>THERE IS ENOUGH VARIOUS KIND OF FINANCIAL SERVICES IN THE RESIDENCE AREA</t>
  </si>
  <si>
    <t>The requirements for getting a loan are easier</t>
  </si>
  <si>
    <t>Financial institution officers provide reliable information.</t>
  </si>
  <si>
    <t>APPROACH FINANCIAL PRODUCT PROVIDERS THROUGH PUBLIC FIGURE</t>
  </si>
  <si>
    <t>FINANCIAL ORGANIZATION ARE TOO POWERFULL</t>
  </si>
  <si>
    <t>From the employer</t>
  </si>
  <si>
    <t>Using internet</t>
  </si>
  <si>
    <t>SOMEONE IN YOUR REGIONAL GOVERNMENT OFFICE</t>
  </si>
  <si>
    <t>Product/services usage fees</t>
  </si>
  <si>
    <t>PAWNSHOP</t>
  </si>
  <si>
    <t> Life Insurance</t>
  </si>
  <si>
    <t>I pay my debt on time</t>
  </si>
  <si>
    <t>The administration cost is too high</t>
  </si>
  <si>
    <t>Don’t have enough information related to the TabunganKu product</t>
  </si>
  <si>
    <t>Don’t have enough information related to the BSA product</t>
  </si>
  <si>
    <t>Venture Capital</t>
  </si>
  <si>
    <t>Dompetku (Indosat)</t>
  </si>
  <si>
    <t>LKD/Laku Pandai Agent</t>
  </si>
  <si>
    <t>Non-Bank Financial Institutions (finance/leasing company, venture capital, and Rent/Leasing)</t>
  </si>
  <si>
    <t>Get bonuses for deposits or products owned</t>
  </si>
  <si>
    <t xml:space="preserve">Financial institution officers are friendly and polite in providing services.       </t>
  </si>
  <si>
    <t>DELIVER CLAIM TO GOVERMENT AUTHORITIES WHICH IS AUTHORIZED (CENTRAL BANKS, NATIONAL SYARIAH BOARD, OJK, MEDIATOR)</t>
  </si>
  <si>
    <t>BANKER OR OTHER FINANCIAL EXPERT</t>
  </si>
  <si>
    <t>Fine</t>
  </si>
  <si>
    <t>STOCK/SECURITIES COMPANY</t>
  </si>
  <si>
    <t> Unit link/ Bancassurance</t>
  </si>
  <si>
    <t>I am ready to bear the risk of losing money when saving or investing</t>
  </si>
  <si>
    <t>Don’t have enough money</t>
  </si>
  <si>
    <t>TabunganKu features / facilities are incomplete</t>
  </si>
  <si>
    <t>BSA features / facilities are incomplete</t>
  </si>
  <si>
    <t>Leasing</t>
  </si>
  <si>
    <t>Rekening Ponsel CIMB Niaga</t>
  </si>
  <si>
    <t>Money Changer agent</t>
  </si>
  <si>
    <t>Get more profitable interest</t>
  </si>
  <si>
    <t>Financial institution officers serve wholeheartedly.</t>
  </si>
  <si>
    <t>TAKE LEGAL ACTION</t>
  </si>
  <si>
    <t>PUBLIC FIGURES</t>
  </si>
  <si>
    <t>Currency Value/Inflation</t>
  </si>
  <si>
    <t>INVESTMENT MANAGER/ASSET MANAGEMENT</t>
  </si>
  <si>
    <t> Education Insurance</t>
  </si>
  <si>
    <t>I am trying to observe my financial affairs personally</t>
  </si>
  <si>
    <t>Don’t have the required document</t>
  </si>
  <si>
    <t>e-cash (Bank Mandiri)</t>
  </si>
  <si>
    <t>Money Transfer Agent (such as: Western Union and MoneyGram)</t>
  </si>
  <si>
    <t>Ease of having financial products and services</t>
  </si>
  <si>
    <t>Financial institution officers are cooperative/strive in helping overcome the problems of financial services that arise.</t>
  </si>
  <si>
    <t>SOCIAL SECURITY ADMINISTRATOR BODY (BPJS)</t>
  </si>
  <si>
    <t> Health Insurance</t>
  </si>
  <si>
    <t>I set a long term financial plan and trying to achieve it</t>
  </si>
  <si>
    <t>Bank officers don’t provide a good service</t>
  </si>
  <si>
    <t>Alternative choices of diverse financial products and services</t>
  </si>
  <si>
    <t xml:space="preserve">Financial institution officers are responsive in serving.           </t>
  </si>
  <si>
    <t>OTHER FORMAL FINANCIAL INSTITUTIONS</t>
  </si>
  <si>
    <t> Vehicle Insurance</t>
  </si>
  <si>
    <t>Money is to spend</t>
  </si>
  <si>
    <t>There are already household members who have financial product and service</t>
  </si>
  <si>
    <t>Financial institutions fulfill what is promised.</t>
  </si>
  <si>
    <t> Defined Benefit Pension Program</t>
  </si>
  <si>
    <t>My financial condition restricts my ability to do something important</t>
  </si>
  <si>
    <t>Prefer to use cash</t>
  </si>
  <si>
    <t>Defined Contribution Pension Program</t>
  </si>
  <si>
    <t>I tend to worry about meeting my life needs</t>
  </si>
  <si>
    <t>Don’t have enough information related to savings product</t>
  </si>
  <si>
    <t>Layanan Keuangan Digital (LKD)/Laku Pandai Agent</t>
  </si>
  <si>
    <t>Gold/precious metal</t>
  </si>
  <si>
    <t>I have too much debt at the moment</t>
  </si>
  <si>
    <t>I never knew about the product</t>
  </si>
  <si>
    <t>Shares</t>
  </si>
  <si>
    <t>I am satisfied with my current financial situation</t>
  </si>
  <si>
    <t>Bonds/Islamic Bonds(Example : Indonesian Retail Bonds (ORI) / Indonesian Retail Islamic Bonds (Sukri)</t>
  </si>
  <si>
    <t>Mutual Funds</t>
  </si>
  <si>
    <t>Health</t>
  </si>
  <si>
    <t>Employment</t>
  </si>
  <si>
    <t>Savings</t>
  </si>
  <si>
    <t>Buying property</t>
  </si>
  <si>
    <t>Buying vehicle</t>
  </si>
  <si>
    <t>Maintaining the improvement of life quality</t>
  </si>
  <si>
    <t>Maintaining lifestyle</t>
  </si>
  <si>
    <t>Other:                                                                                                  </t>
  </si>
  <si>
    <t>DG5</t>
  </si>
  <si>
    <t>DL4</t>
  </si>
  <si>
    <t>G2P1</t>
  </si>
  <si>
    <t>DL25</t>
  </si>
  <si>
    <t>FH</t>
  </si>
  <si>
    <t>MT2A</t>
  </si>
  <si>
    <t>MT9</t>
  </si>
  <si>
    <t>MT17</t>
  </si>
  <si>
    <t>MT18A</t>
  </si>
  <si>
    <t>FN5,FN6</t>
  </si>
  <si>
    <t>BA2</t>
  </si>
  <si>
    <t>UR</t>
  </si>
  <si>
    <t>FF3</t>
  </si>
  <si>
    <t>IFI14,IFI15</t>
  </si>
  <si>
    <t>FB27</t>
  </si>
  <si>
    <t>AD10</t>
  </si>
  <si>
    <t>FF6</t>
  </si>
  <si>
    <t>FF7&amp;8</t>
  </si>
  <si>
    <t>FF10</t>
  </si>
  <si>
    <t>FF19</t>
  </si>
  <si>
    <t>MM10A</t>
  </si>
  <si>
    <t>MM11</t>
  </si>
  <si>
    <t>MM24</t>
  </si>
  <si>
    <t>MM28</t>
  </si>
  <si>
    <t>MM31&amp;32</t>
  </si>
  <si>
    <t>MM37</t>
  </si>
  <si>
    <t>MM42</t>
  </si>
  <si>
    <t>MMP</t>
  </si>
  <si>
    <t>IFI1&amp;2&amp;3&amp;4</t>
  </si>
  <si>
    <t>IFI5</t>
  </si>
  <si>
    <t>IFI6&amp;7&amp;8&amp;9</t>
  </si>
  <si>
    <t>IFI10&amp;11&amp;12&amp;13</t>
  </si>
  <si>
    <t>IFI14&amp;15&amp;16&amp;17</t>
  </si>
  <si>
    <t>IFI20</t>
  </si>
  <si>
    <t>IFI22</t>
  </si>
  <si>
    <t>FL7</t>
  </si>
  <si>
    <t>FL8</t>
  </si>
  <si>
    <t>FB4</t>
  </si>
  <si>
    <t>FB16&amp;16a&amp;17</t>
  </si>
  <si>
    <t>FB19A&amp;19B</t>
  </si>
  <si>
    <t>FB22&amp;23</t>
  </si>
  <si>
    <t>FB26</t>
  </si>
  <si>
    <t>FB27&amp;28</t>
  </si>
  <si>
    <t>FB29</t>
  </si>
  <si>
    <t>LN2</t>
  </si>
  <si>
    <t>Kartu Tanda Penduduk (KTP/KITAS/KITAP)</t>
  </si>
  <si>
    <t>Sold fish or fishing products, supplies, or equipment</t>
  </si>
  <si>
    <t xml:space="preserve">Government Employment Schemes (e.g. Food for Work, Test Relief, Rural Employment for Public Assets, Employment Guarantee Program for the Poorest) </t>
  </si>
  <si>
    <t>gone without enough food to eat</t>
  </si>
  <si>
    <t>You have a plan for how your money will be used in the next few days</t>
  </si>
  <si>
    <t>basic phone (only allows calling, messaging, and saving phone numbers)</t>
  </si>
  <si>
    <t>Lack of money to buy a mobile phone</t>
  </si>
  <si>
    <t>Call someone or receive a call</t>
  </si>
  <si>
    <t>Make and receive calls</t>
  </si>
  <si>
    <t>Agent charged a fee that I did not expect</t>
  </si>
  <si>
    <t>A friend or family member has an account that you can use</t>
  </si>
  <si>
    <t>You don't have the required documents</t>
  </si>
  <si>
    <t>Bank branch</t>
  </si>
  <si>
    <t>Medical</t>
  </si>
  <si>
    <t>a business you own</t>
  </si>
  <si>
    <t>Made calls</t>
  </si>
  <si>
    <t>I do not ask anyone, do not need help</t>
  </si>
  <si>
    <t>Make calls/receive calls</t>
  </si>
  <si>
    <t>You can access your account and make transactions using either a mobile phone application or the bank’s website</t>
  </si>
  <si>
    <t>Current/for everyday needs WITH a cheque book</t>
  </si>
  <si>
    <t xml:space="preserve">Over the counter in a branch of the bank </t>
  </si>
  <si>
    <t>Unexpected charges</t>
  </si>
  <si>
    <t>Service system downtime</t>
  </si>
  <si>
    <t>Over the counter or by using an agent’s account</t>
  </si>
  <si>
    <t>Agent</t>
  </si>
  <si>
    <t>Your own phone and your own SIM</t>
  </si>
  <si>
    <t>Open a mobile money menu</t>
  </si>
  <si>
    <t>Your home</t>
  </si>
  <si>
    <t xml:space="preserve">Mobile money allows you to keep money on your phone  </t>
  </si>
  <si>
    <t>Brizzi</t>
  </si>
  <si>
    <t>Bank Perkreditan Rakyat (BPR)</t>
  </si>
  <si>
    <t>BPR</t>
  </si>
  <si>
    <t>You can access your account and make transactions using a mobile phone application or internet website</t>
  </si>
  <si>
    <t>Deposit money</t>
  </si>
  <si>
    <t>Welfare/clan group – we help each other out for things like funerals</t>
  </si>
  <si>
    <t>Lost money through theft or fraud by someone outside the group</t>
  </si>
  <si>
    <t>Loss of a house due to fire, flood or another natural disaster</t>
  </si>
  <si>
    <t>I am highly satisfied with my present financial condition</t>
  </si>
  <si>
    <t>I did not have the required documents</t>
  </si>
  <si>
    <t>Bank, personal or business loans</t>
  </si>
  <si>
    <t>A loan that came with a new financial account</t>
  </si>
  <si>
    <t>Start/expand your own business</t>
  </si>
  <si>
    <t>Your own business</t>
  </si>
  <si>
    <t>Reading in English</t>
  </si>
  <si>
    <t>PKH</t>
  </si>
  <si>
    <t>Family registration card</t>
  </si>
  <si>
    <t>Sold products of agriculture or reared livestock</t>
  </si>
  <si>
    <t>Unconditional Food Distribution (e.g. Vulnerable Group Feeding, Gratuitous Relief)</t>
  </si>
  <si>
    <t>gone without fuel to cook food</t>
  </si>
  <si>
    <t>You have goals for the next few months for what you want to achieve with your money</t>
  </si>
  <si>
    <t>feature phone (has a camera, radio)</t>
  </si>
  <si>
    <t>No need for a mobile phone</t>
  </si>
  <si>
    <t xml:space="preserve">Send or receive a text message </t>
  </si>
  <si>
    <t xml:space="preserve">Navigate the menu on the phone </t>
  </si>
  <si>
    <t>Money transfers</t>
  </si>
  <si>
    <t>Agent did not have enough cash or e-float and could not perform the transaction</t>
  </si>
  <si>
    <t>You do not have the required identification documents</t>
  </si>
  <si>
    <t>Fees and expenses for using banks are too high</t>
  </si>
  <si>
    <t>Life</t>
  </si>
  <si>
    <t>a business owned by someone you know</t>
  </si>
  <si>
    <t>Received calls</t>
  </si>
  <si>
    <t>Male relative</t>
  </si>
  <si>
    <t>Navigate the menu on the phone</t>
  </si>
  <si>
    <t>The bank offers a debit/ATM card with this account</t>
  </si>
  <si>
    <t>Current/for everyday needs WITHOUT a cheque book</t>
  </si>
  <si>
    <t>Lost money</t>
  </si>
  <si>
    <t>Agent system downtime</t>
  </si>
  <si>
    <t>Account of a family member in this household</t>
  </si>
  <si>
    <t>Pricing sheet</t>
  </si>
  <si>
    <t>Your own phone but someone else’s SIM</t>
  </si>
  <si>
    <t>Find a particular menu option (for example, an option for a money transfer)</t>
  </si>
  <si>
    <t>Your work</t>
  </si>
  <si>
    <t>Mobile money allows you to get a loan</t>
  </si>
  <si>
    <t>Doku</t>
  </si>
  <si>
    <t>Cooperative (BMT, Credit Union, KSP) / Ventura</t>
  </si>
  <si>
    <t>A debit/ATM card is offered with this account</t>
  </si>
  <si>
    <t>Withdraw money</t>
  </si>
  <si>
    <t xml:space="preserve">We receive loan/credit </t>
  </si>
  <si>
    <t>Lost money through theft or fraud by a committee member</t>
  </si>
  <si>
    <t>Major medical emergency, including illness, injury and childbirth</t>
  </si>
  <si>
    <t>I have too much debt right now</t>
  </si>
  <si>
    <t>Already owed money on a loan</t>
  </si>
  <si>
    <t>Mobile money account (e.g., T-Cash, Rekening Ponsel, dll)</t>
  </si>
  <si>
    <t>A loan accessed through an existing financial account</t>
  </si>
  <si>
    <t>Mobile money account or mobile money product (e.g., T-Cash, E-Cash, etc.)</t>
  </si>
  <si>
    <t>Education for yourself</t>
  </si>
  <si>
    <t>Other people’s businesses (e.g., neighbors, friends, relatives)</t>
  </si>
  <si>
    <t xml:space="preserve">Writing in English </t>
  </si>
  <si>
    <t>Fertilizer Subsidies </t>
  </si>
  <si>
    <t>Passport</t>
  </si>
  <si>
    <t xml:space="preserve">Received assistance from the government </t>
  </si>
  <si>
    <t>Zakat</t>
  </si>
  <si>
    <t>needed a doctor but delayed or went without because of shortage of funds</t>
  </si>
  <si>
    <t>You have enough money to pay for your living expenses</t>
  </si>
  <si>
    <t xml:space="preserve">smartphone (has email, mobile applications) </t>
  </si>
  <si>
    <t>My mobile phone was lost, broken, or stopped working</t>
  </si>
  <si>
    <t>Search the internet</t>
  </si>
  <si>
    <t>Send and receive text messages</t>
  </si>
  <si>
    <t>Agent refused to perform transaction for no reason</t>
  </si>
  <si>
    <t>You do not use products and services that require a registered account</t>
  </si>
  <si>
    <t>You don't need a bank account</t>
  </si>
  <si>
    <t>Pos Indonesia</t>
  </si>
  <si>
    <t>Car, vehicle</t>
  </si>
  <si>
    <t xml:space="preserve">a Indonesian enterprise where you bought shares </t>
  </si>
  <si>
    <t xml:space="preserve">Sent/received text messages </t>
  </si>
  <si>
    <t>Female relative</t>
  </si>
  <si>
    <t>Send/receive text messages</t>
  </si>
  <si>
    <t>The bank offers a credit card with this account</t>
  </si>
  <si>
    <t>Current account with overdraft facility</t>
  </si>
  <si>
    <t>Bank deposit or withdrawals over the counter at a retail store</t>
  </si>
  <si>
    <t>Registered a complaint or called a customer care line</t>
  </si>
  <si>
    <t>Difficulty operating the phone/using menu</t>
  </si>
  <si>
    <t>Account of a family member in another household, other relative, friend or a neighbor</t>
  </si>
  <si>
    <t>Family member</t>
  </si>
  <si>
    <t>Your own SIM but borrow a phone from agent</t>
  </si>
  <si>
    <t>Initiate a transaction</t>
  </si>
  <si>
    <t>Where you shop for food</t>
  </si>
  <si>
    <t>You can deposit and withdraw in cash using mobile money</t>
  </si>
  <si>
    <t>E-Money/ E-Toll/ Indomaret Card</t>
  </si>
  <si>
    <t>A credit card is offered with this account</t>
  </si>
  <si>
    <t>Buy airtime top-ups, pay mobile phone bill</t>
  </si>
  <si>
    <t>A Mobile money agent</t>
  </si>
  <si>
    <t>We collect money and give to each member a lump sum (pot) or gift in turn</t>
  </si>
  <si>
    <t>Lost money through bad investment of funds</t>
  </si>
  <si>
    <t>Bankruptcy/loss of a job or a business</t>
  </si>
  <si>
    <t>Friends and family rely heavily on me to help with their finances</t>
  </si>
  <si>
    <t>Did not qualify for a credit</t>
  </si>
  <si>
    <t>A mobile money account that came with a smartphone</t>
  </si>
  <si>
    <t>Savings account at KOPERASI (organization which requires you to be a member e.g. agricultural co-op or workplace co-op)</t>
  </si>
  <si>
    <t>Get ready for retirement</t>
  </si>
  <si>
    <t>Assets, such as real estate, land, precious metals, gemstones, art, etc.</t>
  </si>
  <si>
    <t>Reading in Indonesian</t>
  </si>
  <si>
    <t>BSM</t>
  </si>
  <si>
    <t>School-issued ID</t>
  </si>
  <si>
    <t>Received money from a relative, friend, or another person inside the country</t>
  </si>
  <si>
    <t>Employee Old Age Benefit Program</t>
  </si>
  <si>
    <t>needed a veterinarian or vet medicine but went without because of a shortage of funds(pet or livestock)</t>
  </si>
  <si>
    <t>You spend less money than you make each month</t>
  </si>
  <si>
    <t>My family members do not want me to have a mobile phone.</t>
  </si>
  <si>
    <t>Download music, video or games</t>
  </si>
  <si>
    <t>Investments</t>
  </si>
  <si>
    <t>Agent did not know how to perform the transaction</t>
  </si>
  <si>
    <t>You do not know how to register an account</t>
  </si>
  <si>
    <t>You don't trust banks</t>
  </si>
  <si>
    <t>Agriculture</t>
  </si>
  <si>
    <t>a foreign enterprise where you bought shares</t>
  </si>
  <si>
    <t>Sent/received photo messages (MMS)</t>
  </si>
  <si>
    <t>Male friend</t>
  </si>
  <si>
    <t>Use/browse the internet</t>
  </si>
  <si>
    <t>You can transfer money to/from this account without using cash (e.g. receive salary or government benefits, direct deposit, automatic payments or withdrawals, transfers to/from other banks/mobile money account/MFI or cooperative account)</t>
  </si>
  <si>
    <t>Bank’s website/online banking</t>
  </si>
  <si>
    <t>ATM not working</t>
  </si>
  <si>
    <t>Unclear transaction charges/fees</t>
  </si>
  <si>
    <t>Account of a workmate or a business partner</t>
  </si>
  <si>
    <t>Friend</t>
  </si>
  <si>
    <t>Your own SIM but borrow a phone from friends or family</t>
  </si>
  <si>
    <t>Complete a transaction</t>
  </si>
  <si>
    <t>Near your children’s school/childcare facility</t>
  </si>
  <si>
    <t>You can send money to someone using mobile money</t>
  </si>
  <si>
    <t>Flazz</t>
  </si>
  <si>
    <t>Post office bank</t>
  </si>
  <si>
    <t>Post Office Bank</t>
  </si>
  <si>
    <t>You can transfer money to/from this account without using cash (make a direct deposit, automatic payments or withdrawals, transfers to/from other accounts)</t>
  </si>
  <si>
    <t>Pay a school fee</t>
  </si>
  <si>
    <t>A Banking agent</t>
  </si>
  <si>
    <t>We save and lend money to members and/or non-members to be repaid with interest</t>
  </si>
  <si>
    <t>Loss of membership through death or membership cancellation</t>
  </si>
  <si>
    <t>Loss of harvest or livestock due to weather conditions or a disease</t>
  </si>
  <si>
    <t>I am comfortable having some debt if it allows me to accomplish my goals</t>
  </si>
  <si>
    <t>Did not know where to go to get a credit</t>
  </si>
  <si>
    <t>A credit plan for school fees</t>
  </si>
  <si>
    <t>Savings with an informal group that lends to its members or to other people with interest</t>
  </si>
  <si>
    <t>Buy expensive and prestigious things such as an expensive car, jewelry, designer clothes, high-end electronics.</t>
  </si>
  <si>
    <t>Buy shares of foreign enterprises (e.g., Coca Cola, Toyota, etc.)</t>
  </si>
  <si>
    <t>Writing in Indonesian</t>
  </si>
  <si>
    <t>PNPM</t>
  </si>
  <si>
    <t>Tax Card</t>
  </si>
  <si>
    <t>Received money from a relative, friend, or another person sent from a foreign country</t>
  </si>
  <si>
    <t>Workers Welfare Fund</t>
  </si>
  <si>
    <t>needed fertilizer for the farm but went without because of a shortage of funds</t>
  </si>
  <si>
    <t>You pay your bills on time and in full</t>
  </si>
  <si>
    <t>There is no mobile phone network where I live.</t>
  </si>
  <si>
    <t>Use Facebook, WhatsApp, Twitter, Instagram or another social networking application</t>
  </si>
  <si>
    <t>Make a financial transaction such as send or receive money, or make a payment, or a bank transaction</t>
  </si>
  <si>
    <t>A mobile phone application or website</t>
  </si>
  <si>
    <t>Agent overcharged for the transaction</t>
  </si>
  <si>
    <t>You had an account previously but not anymore</t>
  </si>
  <si>
    <t>The closest bank is too far away</t>
  </si>
  <si>
    <t>House/property/asset</t>
  </si>
  <si>
    <t>government bonds/Islamic bonds (e.g. Indonesian Retail Bonds (ORI), Sukri)</t>
  </si>
  <si>
    <t>Used/browsed the internet</t>
  </si>
  <si>
    <t>Female friend</t>
  </si>
  <si>
    <t>Student</t>
  </si>
  <si>
    <t>Mobile app/mobile banking</t>
  </si>
  <si>
    <t>Debit/credit card did not work when paying for goods/services</t>
  </si>
  <si>
    <t>Agent float/cash availability</t>
  </si>
  <si>
    <t>My own account</t>
  </si>
  <si>
    <t>Internet/ website</t>
  </si>
  <si>
    <t>Borrow both SIM and phone from an agent</t>
  </si>
  <si>
    <t>Go back to the main menu after a transaction</t>
  </si>
  <si>
    <t>Near a public transportation hub, for example, a bus stop or station</t>
  </si>
  <si>
    <t>You can store/save money on a mobile phone</t>
  </si>
  <si>
    <t>Jak Card</t>
  </si>
  <si>
    <t>Multifinance (e.g. Adira, FIF, BAF, AAC, etc.)</t>
  </si>
  <si>
    <t>Pay a medical bill</t>
  </si>
  <si>
    <t>A retail store/kiosk with over-the-counter MM services</t>
  </si>
  <si>
    <t>We periodically distribute all monies held by the group to its members</t>
  </si>
  <si>
    <t>Poor leadership/ disagreement within the group</t>
  </si>
  <si>
    <t>Loss of property due to theft or burglary</t>
  </si>
  <si>
    <t>I have the skills and knowledge to manage my finances well</t>
  </si>
  <si>
    <t>Other (Specify)</t>
  </si>
  <si>
    <t>A goal savings plan or contractual savings plan for school fees</t>
  </si>
  <si>
    <t>Savings through buying something (agricultural inputs, livestock, other property)</t>
  </si>
  <si>
    <t>Protect your family from poverty and crime</t>
  </si>
  <si>
    <t xml:space="preserve">Buy shares of local enterprises </t>
  </si>
  <si>
    <t>Reading in local language 1 (specify)</t>
  </si>
  <si>
    <t>BPJS</t>
  </si>
  <si>
    <t>SIM (Driving license)</t>
  </si>
  <si>
    <t>Ownership of a business, property, or assets</t>
  </si>
  <si>
    <t>Pension, old age</t>
  </si>
  <si>
    <t>needed stock for my business but couldn’t buy stock because of a shortage of funds; had to close down temporarily or completely</t>
  </si>
  <si>
    <t>You have an emergency fund that is large enough to cover unplanned expenses</t>
  </si>
  <si>
    <t>Don't know how to use a mobile phone</t>
  </si>
  <si>
    <t>Take a picture</t>
  </si>
  <si>
    <t>Download an application</t>
  </si>
  <si>
    <t>an EDC you can use to get cash from a machine</t>
  </si>
  <si>
    <t>Agent did not give all the cash that was owed</t>
  </si>
  <si>
    <t>You have an account from a different financial institution that you prefer to use</t>
  </si>
  <si>
    <t>You don't have enough money to use the account</t>
  </si>
  <si>
    <t>Agricultural/fisherman/livestock</t>
  </si>
  <si>
    <t>land, house, or other property</t>
  </si>
  <si>
    <t>Downloaded music, video or games</t>
  </si>
  <si>
    <t>Mobile money agent</t>
  </si>
  <si>
    <t xml:space="preserve">Fixed </t>
  </si>
  <si>
    <t>A door-to-door banking agent or another person who is associated with this bank or MFI/mobile collector/banking agent</t>
  </si>
  <si>
    <t>Could not use my bank account because of system outages (online)</t>
  </si>
  <si>
    <t>Contacting customer care</t>
  </si>
  <si>
    <t>Phone</t>
  </si>
  <si>
    <t>Borrow both SIM and phone from friends or family</t>
  </si>
  <si>
    <t>Correct an error in the amount or phone number for a transaction recipient</t>
  </si>
  <si>
    <t>Near a shop where you go to charge your mobile phone</t>
  </si>
  <si>
    <t>You can pay for goods and services through your mobile phone</t>
  </si>
  <si>
    <t>Mega Cash</t>
  </si>
  <si>
    <t>Arisan or another informal saving network</t>
  </si>
  <si>
    <t xml:space="preserve">Pay an utility bill (i.e electricity, water, solar, TV/cable) </t>
  </si>
  <si>
    <t>We save together and put the money in an account</t>
  </si>
  <si>
    <t>Money/cash not available immediately</t>
  </si>
  <si>
    <t>Death in the family, including death of the main income earner</t>
  </si>
  <si>
    <t xml:space="preserve">When I have some money it’s better to use or invest it right away. Just keeping it sitting there is wasteful  </t>
  </si>
  <si>
    <t>Digital/recharge card</t>
  </si>
  <si>
    <t>In case of emergency</t>
  </si>
  <si>
    <t>Educational policy</t>
  </si>
  <si>
    <t>Buy government bonds</t>
  </si>
  <si>
    <t>Writing in local language 1 (specify)</t>
  </si>
  <si>
    <t>BLT</t>
  </si>
  <si>
    <t>Employment by the government</t>
  </si>
  <si>
    <t>Pension, disability</t>
  </si>
  <si>
    <t>had a child sent home from school because of unpaid school fees</t>
  </si>
  <si>
    <t>You are confident that your income will grow in the future</t>
  </si>
  <si>
    <t>A credit card that you can use to buy something now and pay later</t>
  </si>
  <si>
    <t>Agent system or mobile network was down</t>
  </si>
  <si>
    <t>You don't have enough money to use a registered account</t>
  </si>
  <si>
    <t>Spousal or family insurance</t>
  </si>
  <si>
    <t>gold, gems, art, or other things of value</t>
  </si>
  <si>
    <t>Made a financial transaction such as send/receive money, pay debt, or banking transaction</t>
  </si>
  <si>
    <t>Recharge shop, retail outlet</t>
  </si>
  <si>
    <t>Investment</t>
  </si>
  <si>
    <t>Could not use my bank account because of system outages (offline)</t>
  </si>
  <si>
    <t>Sending to a wrong number</t>
  </si>
  <si>
    <t>Provider’s in-person customer care center</t>
  </si>
  <si>
    <t>Reverse or cancel a transaction</t>
  </si>
  <si>
    <t>Near/at the shop where you buy airtime</t>
  </si>
  <si>
    <t>Mint</t>
  </si>
  <si>
    <t>A money guard/ someone in workplace or neighborhood that collects and keeps savings deposits on a regular basis</t>
  </si>
  <si>
    <t>Pay rent</t>
  </si>
  <si>
    <t xml:space="preserve">Cooperative/Ventura </t>
  </si>
  <si>
    <t>We make other kinds of investments as a group e.g. property, business</t>
  </si>
  <si>
    <t>I buy from several different shopkeepers so that they know me and will give me credit when I need it</t>
  </si>
  <si>
    <t>Loan from a government institution e.g. </t>
  </si>
  <si>
    <t>Other people, e.g., family, friends, neighbors, shopkeepers, money guards, etc.</t>
  </si>
  <si>
    <t>Just make ends meet on a daily basis</t>
  </si>
  <si>
    <t>Retirement/pension/old age</t>
  </si>
  <si>
    <t>Reading in local language 2 (specify)</t>
  </si>
  <si>
    <t>Other(Specify)</t>
  </si>
  <si>
    <t>Employment in a business with 10 employees or less</t>
  </si>
  <si>
    <t>Pension, widow</t>
  </si>
  <si>
    <t>had to miss an important family event (funeral, wedding, etc.) because couldn’t pay for transportation</t>
  </si>
  <si>
    <t>You earn enough money to pay back debt and also pay for living expenses</t>
  </si>
  <si>
    <t>Money transfers to and from the account without using cash (e.g., receive salary or government benefits, direct deposit, automatic payments or withdrawals, transfers to or from another account) </t>
  </si>
  <si>
    <t>Agent was dismissive of women</t>
  </si>
  <si>
    <t>You don't trust these services</t>
  </si>
  <si>
    <t>Employment in case you use your job</t>
  </si>
  <si>
    <t>another place not on my list</t>
  </si>
  <si>
    <t>Used “Call Tunes” or other audio/video on-demand from operator services</t>
  </si>
  <si>
    <t>A scam asking for your bank details or information</t>
  </si>
  <si>
    <t>Family/friends stealing money</t>
  </si>
  <si>
    <t>Look in the mobile money app</t>
  </si>
  <si>
    <t>Send money</t>
  </si>
  <si>
    <t>Nobu e-money</t>
  </si>
  <si>
    <r>
      <t>Money lender (pengepul, supplier/ pemasok, etc.)</t>
    </r>
    <r>
      <rPr>
        <sz val="8"/>
        <color indexed="8"/>
        <rFont val="Calibri"/>
        <family val="2"/>
      </rPr>
      <t xml:space="preserve">   </t>
    </r>
  </si>
  <si>
    <t>Pay a government bill, including tax, fine or fee</t>
  </si>
  <si>
    <t>Semi-formal/informal financial or savings  group (Arisan, kelompok tani/ternak, dll)</t>
  </si>
  <si>
    <t>We invest in the stock market as a group</t>
  </si>
  <si>
    <t>Loan from an employer</t>
  </si>
  <si>
    <t>In a safe place at home or on yourself in cash </t>
  </si>
  <si>
    <t>Give back to your community by giving out money, creating a charitable organization (including orphanage, senior home, free school, etc.), or creating jobs </t>
  </si>
  <si>
    <t>National Social Security Fund</t>
  </si>
  <si>
    <t>DK</t>
  </si>
  <si>
    <t>Writing in local language 2 (specify)</t>
  </si>
  <si>
    <t>Employment in a business with more than 10 employees</t>
  </si>
  <si>
    <t xml:space="preserve">Pension, unemployment </t>
  </si>
  <si>
    <t>Friends and family rely on you to help with their finances</t>
  </si>
  <si>
    <t>Agent committed fraud</t>
  </si>
  <si>
    <t>You feel at risk of losing money</t>
  </si>
  <si>
    <t>lembaga keungan mikro (LKM)</t>
  </si>
  <si>
    <t>Unit Link or bancasurrance</t>
  </si>
  <si>
    <t>Paid an extra fee at a bank branch, such as fee paid to a security guard</t>
  </si>
  <si>
    <t>Other (specify)</t>
  </si>
  <si>
    <t>Receive money</t>
  </si>
  <si>
    <t>TapCash</t>
  </si>
  <si>
    <t>A digital card, a recharge card that is not attached to a bank or MFI account</t>
  </si>
  <si>
    <t>Send money to family members, friends, workmates or other acquaintances for regular support/allowances, to help with emergencies, or for other reasons</t>
  </si>
  <si>
    <t>we formed a group to borrow money from bank or MFI  for business purpose</t>
  </si>
  <si>
    <t>Loan from a group that lends to group members and to other with interest</t>
  </si>
  <si>
    <t>In-kind assets, such as gold</t>
  </si>
  <si>
    <t>Build children’s fund for education</t>
  </si>
  <si>
    <t>Reading in local language 3 (specify)</t>
  </si>
  <si>
    <t>Scholarship or stipend from the government or educational institution</t>
  </si>
  <si>
    <t xml:space="preserve">Scholarship programs for students </t>
  </si>
  <si>
    <t>You have savings or assets that will keep you financially secure in the future</t>
  </si>
  <si>
    <t>Agent’s place was not secure/there were suspicious people at agent’s place</t>
  </si>
  <si>
    <t>You prefer to use cash</t>
  </si>
  <si>
    <t>Baitul Maal wat Tamwil (BMT), lembaga keungan mikro syariah (LKMS), or Shari’ah Bank Perkreditan Rakyat Syariah (BPRS)</t>
  </si>
  <si>
    <t>Education</t>
  </si>
  <si>
    <t>True Money</t>
  </si>
  <si>
    <t>Other financial service (Specify)</t>
  </si>
  <si>
    <t>Receive money from family members, friends, workmates or other acquaintances for regular support/allowances, to help with emergencies, or for other reasons</t>
  </si>
  <si>
    <t>Loan from family/friends/neighbour</t>
  </si>
  <si>
    <t>Build children’s fund for wedding (the ceremony and/or dowry)</t>
  </si>
  <si>
    <t>Writing in local language 3 (specify)</t>
  </si>
  <si>
    <t>Pension</t>
  </si>
  <si>
    <t>Skill development, coaching, vocational training stipends </t>
  </si>
  <si>
    <t>You have the skills and knowledge to manage your finances well</t>
  </si>
  <si>
    <t>Agent shared your personal account information with other people without your knowledge or permission</t>
  </si>
  <si>
    <t>Fees and expenses for using an account are too high</t>
  </si>
  <si>
    <t>Accident in case you get hurt and cannot work</t>
  </si>
  <si>
    <t xml:space="preserve">Receive welfare, pension or other benefit payment from the government </t>
  </si>
  <si>
    <t>Loan from an informal moneylender</t>
  </si>
  <si>
    <t>Buy or build a house</t>
  </si>
  <si>
    <t xml:space="preserve">Other (Specify) </t>
  </si>
  <si>
    <t>Fire</t>
  </si>
  <si>
    <t>Buy airtime</t>
  </si>
  <si>
    <t>Receive wages for primary or secondary job</t>
  </si>
  <si>
    <t>Local shop/supplier that allows you to take goods/services on credit</t>
  </si>
  <si>
    <t>DK/Refused</t>
  </si>
  <si>
    <t>Travel</t>
  </si>
  <si>
    <t>Check balance</t>
  </si>
  <si>
    <t>Pay for large acquisitions, including land, cattle, residence</t>
  </si>
  <si>
    <t>Loan/credits from buyer (of your 21harvest, e.g. tobacco, vegetables)</t>
  </si>
  <si>
    <t>Micro</t>
  </si>
  <si>
    <t>Make insurance-related payments or receive claims on insurance</t>
  </si>
  <si>
    <t>Layaway purchase/loan</t>
  </si>
  <si>
    <t>Take a loan or make payments on a loan, give a loan or receive payments on a loan</t>
  </si>
  <si>
    <t>Unofficial pawnshop</t>
  </si>
  <si>
    <t>Save money for a future purchase or payment</t>
  </si>
  <si>
    <t>Set aside money for pension, paid pension contributions</t>
  </si>
  <si>
    <t>Set money aside just in case/for an undetermined purpose</t>
  </si>
  <si>
    <t>Make an investment, including buy stock or shares</t>
  </si>
  <si>
    <t>Pay for goods or services at a grocery store, clothing shop or any other store/shop</t>
  </si>
  <si>
    <t>Transfer money between your account and an account with another financial institution</t>
  </si>
  <si>
    <t>Pay money to or receive money from your Savings and/or lending group</t>
  </si>
  <si>
    <t>Account maintenance: Check your account balance, change PIN, receive mini-statement, etc.</t>
  </si>
  <si>
    <t>MM12</t>
  </si>
  <si>
    <t>MM14</t>
  </si>
  <si>
    <t>MM5</t>
  </si>
  <si>
    <t>MM9</t>
  </si>
  <si>
    <t>MM6</t>
  </si>
  <si>
    <t>MA,BA</t>
  </si>
  <si>
    <t>FN3.12-FN3.20</t>
  </si>
  <si>
    <t>FB19</t>
  </si>
  <si>
    <t>You cannot use the service because of a network failure</t>
  </si>
  <si>
    <t>You don't know enough about digital products and services</t>
  </si>
  <si>
    <t>To send or receive money</t>
  </si>
  <si>
    <t>You would use mobile money more often if it using it cost less</t>
  </si>
  <si>
    <t>Relatives</t>
  </si>
  <si>
    <t>Open the mobile money menu</t>
  </si>
  <si>
    <t>Agent was absent</t>
  </si>
  <si>
    <t>The products or services offered no longer met your needs</t>
  </si>
  <si>
    <t>To pay for emergency expenses (e.g., medical bills)</t>
  </si>
  <si>
    <t>The agent cannot use the service because of a network failure</t>
  </si>
  <si>
    <t>You don't need to use digital products and services</t>
  </si>
  <si>
    <t>To save money</t>
  </si>
  <si>
    <t>The cost of mobile money is fair for the convenience that it provides</t>
  </si>
  <si>
    <t>Friends</t>
  </si>
  <si>
    <t>Find a particular menu option, such as send money</t>
  </si>
  <si>
    <t>Agent provided poor service</t>
  </si>
  <si>
    <t>Improvement in your circumstances took away the need you had for the products or services offered</t>
  </si>
  <si>
    <t>To pay for daily expenses (e.g., food, transportation, etc.)</t>
  </si>
  <si>
    <t>It's too difficult for you to use the phone to complete the transaction by yourself</t>
  </si>
  <si>
    <t>To have a secure place to store money</t>
  </si>
  <si>
    <t>You may stop using mobile money because the cost of using it is too high</t>
  </si>
  <si>
    <t>Mobile money agents</t>
  </si>
  <si>
    <t>Agent did not have enough money to complete the transaction</t>
  </si>
  <si>
    <t>A change in your status made you ineligible for products or services</t>
  </si>
  <si>
    <t>To pay business expenses or invest in a business</t>
  </si>
  <si>
    <t>Transaction charges or fees for using the service are not clear</t>
  </si>
  <si>
    <t>You don't have enough money to use digital products and services</t>
  </si>
  <si>
    <t>You were registered for a mobile money account by someone else</t>
  </si>
  <si>
    <t>Correct an error in the amount of money to send</t>
  </si>
  <si>
    <t>It became more difficult to travel to the point of service</t>
  </si>
  <si>
    <t>To invest in home improvement or construction</t>
  </si>
  <si>
    <t>The agent does not have enough cash to complete the transaction</t>
  </si>
  <si>
    <t xml:space="preserve">You don't trust digital products and services </t>
  </si>
  <si>
    <t>To borrow money</t>
  </si>
  <si>
    <t>Correct an error in the phone number of the recipient</t>
  </si>
  <si>
    <t>You switched to a different microfinance institution (MFI)</t>
  </si>
  <si>
    <t>To pay for agricultural inputs</t>
  </si>
  <si>
    <t>The agent does not have enough mobile money in their account to complete the transaction</t>
  </si>
  <si>
    <t>Cancel a transaction</t>
  </si>
  <si>
    <t>You switched to mobile money instead of using a microfinance instititution</t>
  </si>
  <si>
    <t>You have difficulty contacting customer care</t>
  </si>
  <si>
    <t>To make an investment</t>
  </si>
  <si>
    <t>Reverse a transaction</t>
  </si>
  <si>
    <t>You switched to a bank instead of using a microfinace institution</t>
  </si>
  <si>
    <t>You send money to a wrong number</t>
  </si>
  <si>
    <t>Fees and expenses for using digital products and services are too high</t>
  </si>
  <si>
    <t xml:space="preserve">To pay a bill </t>
  </si>
  <si>
    <t>Another reason I didn't mention [SPECIFY OTHER]</t>
  </si>
  <si>
    <t>Your money is taken by others who have access to your account</t>
  </si>
  <si>
    <t>Digital products and services are not available in your area</t>
  </si>
  <si>
    <t xml:space="preserve">You got an incentive from the mobile money service during a promotion </t>
  </si>
  <si>
    <t>Agent’s place was not secure or there were suspicious people at agent’s place</t>
  </si>
  <si>
    <t>Agent shared your personal or account information with other people without your knowledge or permission</t>
  </si>
  <si>
    <t>Develop a financial plan</t>
  </si>
  <si>
    <t>Looking for loans</t>
  </si>
  <si>
    <t>Increase the loan limits</t>
  </si>
  <si>
    <t>Make an investments</t>
  </si>
  <si>
    <t>Work/serach for job</t>
  </si>
  <si>
    <t>Develop independent business</t>
  </si>
  <si>
    <t>Looking for an alternative source of loans</t>
  </si>
  <si>
    <t>Reduce expenses</t>
  </si>
  <si>
    <t>Done nothing</t>
  </si>
  <si>
    <t>FII Questionnaire Indonesia 2018  (Wave 4)</t>
  </si>
  <si>
    <t>Caroline Comments 09/28/18</t>
  </si>
  <si>
    <t>AA1.Country</t>
  </si>
  <si>
    <t>Please provide the codes for Country</t>
  </si>
  <si>
    <t>AA2.Province</t>
  </si>
  <si>
    <t>Please provide the codes for Province</t>
  </si>
  <si>
    <t>AA3.District</t>
  </si>
  <si>
    <t>Please provide the codes for District</t>
  </si>
  <si>
    <t>AA4.Sub-District</t>
  </si>
  <si>
    <t>Please provide the codes for Sub-District</t>
  </si>
  <si>
    <t>AA5.Village</t>
  </si>
  <si>
    <t>Please provide the codes for Village</t>
  </si>
  <si>
    <t>AA6.Census numbers Block</t>
  </si>
  <si>
    <t>AA7.EA Type</t>
  </si>
  <si>
    <t>1=Capital city 
2=250,000 and over 
3=100,000-249,999 
4=50,000-99,999 
5=20,000-49,999
6=5,000-19,999 
7=2,000-4,999 
8=Under 2,000  </t>
  </si>
  <si>
    <t>AA9.1</t>
  </si>
  <si>
    <t>AA9.1.Household GPS location Latitude</t>
  </si>
  <si>
    <t>AA9.2</t>
  </si>
  <si>
    <t>AA9.2.Household GPS location Longitude</t>
  </si>
  <si>
    <t>AA10.Respondent ID Number</t>
  </si>
  <si>
    <t>AB1</t>
  </si>
  <si>
    <t>AB1.Date(dd.mm.yyyy)</t>
  </si>
  <si>
    <t>AB2</t>
  </si>
  <si>
    <t>AB2.Day of the week</t>
  </si>
  <si>
    <t>1=Monday
2=Tuesday
3=Wednesday
4=Thursday
5=Friday
6=Saturday
7=Sunday</t>
  </si>
  <si>
    <t>AB3</t>
  </si>
  <si>
    <t>AB3.Start Time (hh:mm) (24 hours)</t>
  </si>
  <si>
    <t>AB4</t>
  </si>
  <si>
    <t>AB4.End Time(hh:mm) (24 hours)</t>
  </si>
  <si>
    <t>AB5</t>
  </si>
  <si>
    <t>AB5.Duration (minutes)</t>
  </si>
  <si>
    <t>AB6.1</t>
  </si>
  <si>
    <t>AB6.1.Interviewer Number</t>
  </si>
  <si>
    <t>AB6.2</t>
  </si>
  <si>
    <t>AB6.2.Interviewer Name</t>
  </si>
  <si>
    <t>AB6.3</t>
  </si>
  <si>
    <t>AB6.3.Supervisor Number</t>
  </si>
  <si>
    <t>AB6.4</t>
  </si>
  <si>
    <t>AB6.4.Supervisor Name</t>
  </si>
  <si>
    <t>AB7</t>
  </si>
  <si>
    <t>AB7.Interviewer Gender</t>
  </si>
  <si>
    <t>x&lt;=2003</t>
  </si>
  <si>
    <t>DG2. Is the respondent a male or a female?</t>
  </si>
  <si>
    <t>DG3. What is your marital status?</t>
  </si>
  <si>
    <t>1=Single/never married
2=Married/Not married but together
3=Divorced/ Separated
4=Widowed
96=Other(specify)
-2=DK</t>
  </si>
  <si>
    <t>remove this option as it is culturally/regulatory not acceptable. Keep as married/not married/DK</t>
  </si>
  <si>
    <t>may need to be shortened by deleting the "some" options and only keeping the "completed" options
also delete "pesantren" as many of them are formal and included in the above options</t>
  </si>
  <si>
    <r>
      <t xml:space="preserve">Section 2: KNOW YOUR CUSTOMER DOCUMENTS
[READ OUT] </t>
    </r>
    <r>
      <rPr>
        <b/>
        <sz val="10"/>
        <color rgb="FFFF0000"/>
        <rFont val="Arial"/>
        <family val="2"/>
      </rPr>
      <t>My next questions are about documents that can be used to open a financial account.</t>
    </r>
  </si>
  <si>
    <t>This intro sentence may be misleading - suggest deleting</t>
  </si>
  <si>
    <t>Changed wording</t>
  </si>
  <si>
    <t>List is too long, revise</t>
  </si>
  <si>
    <t>DL15.Do all household members ages 6 to 18 go to school? </t>
  </si>
  <si>
    <t>1=None
2=Grade school (incl. disabled, Islamic, or non-formal)
3=Junior-high school (incl. disabled, Islamic, or non-formal)
4=No female head/spouse
5=Vocational school (high-school level)
6=High school (incl. disabled, Islamic, or non-formal)
7=Diploma (one-year or higher), or higher</t>
  </si>
  <si>
    <t>DL18. What is the main material of the floor?</t>
  </si>
  <si>
    <t>DL20. What is the main cooking fuel?</t>
  </si>
  <si>
    <t>Section 5: GENDER
[READ OUT] My next questions are about spending decisions in your household.</t>
  </si>
  <si>
    <t>Strongly advise to move this section after 'Financial Institution' and 'Product/Services'</t>
  </si>
  <si>
    <t>Section 6: FINANCIAL HEALTH
[READ OUT] Now I have several more general questions about your financial situation.</t>
  </si>
  <si>
    <t>FH1</t>
  </si>
  <si>
    <t>1=Strongly disagree
2=Somewhat disagree
3=Neither disagree, nor agree
4=Somewhat agree
5=Strongly agree</t>
  </si>
  <si>
    <t>QQ missing in the Questionnaire - revise</t>
  </si>
  <si>
    <t>FH2</t>
  </si>
  <si>
    <t>FH3</t>
  </si>
  <si>
    <t>FH4</t>
  </si>
  <si>
    <t>FH5</t>
  </si>
  <si>
    <t>FH6</t>
  </si>
  <si>
    <t>FH7</t>
  </si>
  <si>
    <t>FH8</t>
  </si>
  <si>
    <t>FH9</t>
  </si>
  <si>
    <t>FH10</t>
  </si>
  <si>
    <t>FH11</t>
  </si>
  <si>
    <t>FH12</t>
  </si>
  <si>
    <t>1=Very difficult
2=Somewhat difficult
3=Neither difficult, nor easy
4=Somewhat easy
5=Very easy
-2=DK [DO NOT READ]</t>
  </si>
  <si>
    <t>Section 7:  FINANCIAL LITERACY
[READ OUT] My next questions are about counting money.</t>
  </si>
  <si>
    <t>1=Rp. 12,000
2=Any other answer
-2=DK [DO NOT READ]</t>
  </si>
  <si>
    <t>1=Rp. 20,000
2=Any other answer
-2=DK [DO NOT READ]</t>
  </si>
  <si>
    <t>FL14</t>
  </si>
  <si>
    <t>1=One business or investment
2=Multiple businesses or investments
-2=DK [DO NOT READ]</t>
  </si>
  <si>
    <t>FL15</t>
  </si>
  <si>
    <t>1=Less
2=The same
3=More
-2=DK [DO NOT READ]</t>
  </si>
  <si>
    <t>1=105,000
2=100,000 plus 3 percent
-2=DK [DO NOT READ]</t>
  </si>
  <si>
    <t>FL17</t>
  </si>
  <si>
    <t>1=More
2=The same
-2=DK [DO NOT READ]</t>
  </si>
  <si>
    <t>1=More than Rp. 150,000
2=Exactly Rp. 150,000
3=Less than  Rp. 150,000
-2=DK [DO NOT READ]</t>
  </si>
  <si>
    <t>FL19</t>
  </si>
  <si>
    <t>1=5
2=3
3=7
4=2
5=9
6=4
-2=DK[DO NOT READ]</t>
  </si>
  <si>
    <t>FL20</t>
  </si>
  <si>
    <t>1=208,500 Rp.
2=200,850 Rp.
3=28,500 Rp.
4=20,580 Rp.
5=258,000 Rp.
-2=DK[DO NOT READ]</t>
  </si>
  <si>
    <t>FL21</t>
  </si>
  <si>
    <t>1=180,000
2=Other number
-2=DK</t>
  </si>
  <si>
    <t>Section 11: FINANCIAL INSTITUTIONS
[READ OUT] My next questions are about different formal financial institutions and financial products and services. These include banks, bank perkeditan rakyat (BPR), kantor pos, mobile money services, e-money cards, koperasi, ventura and lembaga keungan mikro, pawnshops, multifinance, insurance providers and pension funds. I will also ask you about your membership in informal financial institutions such as arisans or other groups that save together or contribute money to help each other meet their financial goals.</t>
  </si>
  <si>
    <t>Intro is too long, may need to shorten. Also move this section up before "Gender"</t>
  </si>
  <si>
    <t>Deleted "or any other type of formal financial institution"</t>
  </si>
  <si>
    <t>FN1.1</t>
  </si>
  <si>
    <t>FN1.2</t>
  </si>
  <si>
    <t>mention types of bank accounts as examples</t>
  </si>
  <si>
    <t>FN1.3</t>
  </si>
  <si>
    <t>1=Today
2=In the past 7 days
3=In the past 30 days
4=In the past 90 days
5=Between 90 days and 1 year
6=More than 1 year
7=Never</t>
  </si>
  <si>
    <t>IF FN1_2=1</t>
  </si>
  <si>
    <t>FN1.4</t>
  </si>
  <si>
    <t>1=Yes_x000D_
2=No
-2=DK [DO NOT READ]</t>
  </si>
  <si>
    <t>include brief description of tabunganku acct.</t>
  </si>
  <si>
    <t>FN1.5</t>
  </si>
  <si>
    <t>added credit card or EDC</t>
  </si>
  <si>
    <t>FN1.6</t>
  </si>
  <si>
    <t>IF FN1_5=1</t>
  </si>
  <si>
    <t>FN1.7</t>
  </si>
  <si>
    <t>1=Today
2=In the past 7 days
3=In the past 30 days
4=In the past 90 days
5=Between 90 days and 1 year
6=More than 1 year</t>
  </si>
  <si>
    <t>IF FN1_6=1</t>
  </si>
  <si>
    <t>FN1.8</t>
  </si>
  <si>
    <t>FGN1</t>
  </si>
  <si>
    <t>Need to have an option that includes Syariah Banks (islamic banks)</t>
  </si>
  <si>
    <t>FN2.1</t>
  </si>
  <si>
    <t>Have an intro sentence on BPR here</t>
  </si>
  <si>
    <t>FN2.2</t>
  </si>
  <si>
    <t>add acct examples, delete "membership"</t>
  </si>
  <si>
    <t>FN2.3</t>
  </si>
  <si>
    <t>IF FN2_2=1</t>
  </si>
  <si>
    <t>FN3.1</t>
  </si>
  <si>
    <t>reworded; delete ventura and BMT and include in a separate question</t>
  </si>
  <si>
    <t>FN3.2</t>
  </si>
  <si>
    <t>removed jointly - not allowed in a coop; delete ventura and BMT and include in a separate question</t>
  </si>
  <si>
    <t>FN3.3</t>
  </si>
  <si>
    <t>IF FN3_2=1</t>
  </si>
  <si>
    <t>delete ventura and BMT and include in a separate question</t>
  </si>
  <si>
    <t>FN3.4.1</t>
  </si>
  <si>
    <t>1=Yes
2=No
-2=DK[DO NOT READ]</t>
  </si>
  <si>
    <t>FN3.4.2</t>
  </si>
  <si>
    <t>This is not allowed by regulation, but some coop provide the service in partnership with providers. If asked we just have to explain 
delete ventura and BMT and include in a separate question</t>
  </si>
  <si>
    <t>FN3.4.3</t>
  </si>
  <si>
    <t>FN3.4.4</t>
  </si>
  <si>
    <t>FN3.4.5</t>
  </si>
  <si>
    <t>FN3.4.6</t>
  </si>
  <si>
    <t>ATMs not available in coop
delete ventura and BMT and include in a separate question</t>
  </si>
  <si>
    <t>FN3.4.7</t>
  </si>
  <si>
    <t>delete credit card question, not applicable 
delete ventura and BMT and include in a separate question</t>
  </si>
  <si>
    <t>FN3.4.8</t>
  </si>
  <si>
    <t>FN4.1</t>
  </si>
  <si>
    <t>reworded</t>
  </si>
  <si>
    <t>FN4.2</t>
  </si>
  <si>
    <t>FN4.3</t>
  </si>
  <si>
    <t>IF FN4_2=1</t>
  </si>
  <si>
    <t>add section on ventura before this question</t>
  </si>
  <si>
    <t>FN5.1</t>
  </si>
  <si>
    <t>need an intro sentence here</t>
  </si>
  <si>
    <t>FN5.2</t>
  </si>
  <si>
    <t>FN5.3</t>
  </si>
  <si>
    <t>IF FN5_2=1</t>
  </si>
  <si>
    <t>FN6.1</t>
  </si>
  <si>
    <t>need to separate e-money into 2 sections: server vs. chip based
server-based allows registration
chip-based does not
https://www.bi.go.id/en/sistem-pembayaran/informasi-perizinan/uang-elektronik/penyelenggara-berizin/Pages/default.aspx</t>
  </si>
  <si>
    <t>FN6.2</t>
  </si>
  <si>
    <t>IF FN6_1=1</t>
  </si>
  <si>
    <t>Not relevant for chip-based products as they don’t offer registration</t>
  </si>
  <si>
    <t>FN6.3</t>
  </si>
  <si>
    <t>IF FN6_2=1</t>
  </si>
  <si>
    <t>MM0</t>
  </si>
  <si>
    <t>1=Yes_x000D_
2=No_x000D_</t>
  </si>
  <si>
    <t>MM1.1</t>
  </si>
  <si>
    <t>MM1.2</t>
  </si>
  <si>
    <t>MM1.3</t>
  </si>
  <si>
    <t>MM1.4</t>
  </si>
  <si>
    <t>MM1.5</t>
  </si>
  <si>
    <t>MM1.6</t>
  </si>
  <si>
    <t>MM1.7</t>
  </si>
  <si>
    <t>MM1.8</t>
  </si>
  <si>
    <t>Added Q</t>
  </si>
  <si>
    <t>MM1.9</t>
  </si>
  <si>
    <t>MM1.96</t>
  </si>
  <si>
    <t>FN7.1</t>
  </si>
  <si>
    <t>IF MM0=1 OR MM1_1=1 OR MM1_2=1 OR MM1_3=1 OR MM1_4=1 OR MM1_5=1 OR MM1_6=1 OR MM1_7=1 OR MM1_96=1</t>
  </si>
  <si>
    <t>FN7.2</t>
  </si>
  <si>
    <t>FN7.2.1</t>
  </si>
  <si>
    <t>IF FN7_2=1</t>
  </si>
  <si>
    <t>FN7.3</t>
  </si>
  <si>
    <t>BA0</t>
  </si>
  <si>
    <t>Revise intro sentence
LKD is a general DFS term but it is also a specific BI program (like Laku Pandai/OKJ) so need to specify if using term or program</t>
  </si>
  <si>
    <t>BA1.1</t>
  </si>
  <si>
    <t>BA1.2</t>
  </si>
  <si>
    <t>BA1.3</t>
  </si>
  <si>
    <t>BA1.4</t>
  </si>
  <si>
    <t>Delete</t>
  </si>
  <si>
    <t>BA1.5</t>
  </si>
  <si>
    <t>BA1.6</t>
  </si>
  <si>
    <t>BA1.96</t>
  </si>
  <si>
    <t>This may need to be deleted. Because in agent it is either bank or emoney. So it’s covered anyway</t>
  </si>
  <si>
    <t>FN8.1</t>
  </si>
  <si>
    <t>IF BA1_1=1 OR BA1_2=1 OR BA1_3=1 OR BA1_4=1 OR BA1_5=1 OR BA1_6=1 OR BA1_96=1</t>
  </si>
  <si>
    <t>FN8.2</t>
  </si>
  <si>
    <t>FN8.3</t>
  </si>
  <si>
    <t>IF FN8_2=1</t>
  </si>
  <si>
    <t>FN9.1</t>
  </si>
  <si>
    <t>Unlike WWB and some comments, Pawnshops do have savings account</t>
  </si>
  <si>
    <t>FN9.2</t>
  </si>
  <si>
    <t>Same as above</t>
  </si>
  <si>
    <t>FN9.3</t>
  </si>
  <si>
    <t>IF FN9_2=1</t>
  </si>
  <si>
    <t>Keep</t>
  </si>
  <si>
    <t>FN10.1</t>
  </si>
  <si>
    <t>FN10.2</t>
  </si>
  <si>
    <t>FN10.3</t>
  </si>
  <si>
    <t>IF FN10_2=1</t>
  </si>
  <si>
    <t>FN11.1</t>
  </si>
  <si>
    <t>Money guard may need to be defined or removed - people may not know as a concept</t>
  </si>
  <si>
    <t>FN11.2</t>
  </si>
  <si>
    <t>FN11.3</t>
  </si>
  <si>
    <t>IF FN11_2=1</t>
  </si>
  <si>
    <t>informal financial groups doesn’t reflect on savings usage, borrowing usage, or received payment. If we want to make questions on informal financial groups (like arisan) it needs to be tailor made, cant be the same as other financial institutions questions (saving,borrow, ecet cant be used in the same breath as others),</t>
  </si>
  <si>
    <t>FN11.4</t>
  </si>
  <si>
    <t>1=Yes
2=No
-2=DK</t>
  </si>
  <si>
    <t>Section 12: AGENT EXPERIENCE
[READ OUT] My next questions are about your experiences with agents who provide Digital Financial Service (LKD) and/or Laku Pandai (branchless banking).</t>
  </si>
  <si>
    <t>IF FN8_1=1</t>
  </si>
  <si>
    <t xml:space="preserve">may need to just cover financial service (not digital financial service) </t>
  </si>
  <si>
    <t>BA2.1</t>
  </si>
  <si>
    <t>1=Never
2=Once or twice
3=Sometimes
4=Often
5=Almost always</t>
  </si>
  <si>
    <t>BA2.2</t>
  </si>
  <si>
    <t>BA2.3</t>
  </si>
  <si>
    <t>BA2.4</t>
  </si>
  <si>
    <t>BA2.5</t>
  </si>
  <si>
    <t>BA2.6</t>
  </si>
  <si>
    <t>BA2.7</t>
  </si>
  <si>
    <t>BA2.8</t>
  </si>
  <si>
    <t>BA2.9</t>
  </si>
  <si>
    <t>BA2.10</t>
  </si>
  <si>
    <t>BA2.11</t>
  </si>
  <si>
    <t>Section 13: UNREGISTERED USE 
[READ OUT] Now I will read a list of reasons for why some people who use e-money, mobile money, and digital products or services may decide not to register an account in their name. For each one that I mention, please tell me whether or not this is a reason why you do not have a registered account.</t>
  </si>
  <si>
    <t xml:space="preserve">IF (FN6_1=1 OR FN7_1=1 OR FN8_1=1) AND FN6_2=2 AND (FN7_2=2 OR SYSMIS(FN7_2)) AND (FN8_2=2 AND SYSMIS(FN8_2)) </t>
  </si>
  <si>
    <t>IF PEOPLE EVER USED AT LEAST ONE OF THESE THREE SERVICES, BUT DO NOT HAVE AN ACCOUNT WITH ANY OF THEM.</t>
  </si>
  <si>
    <t>UR1.1</t>
  </si>
  <si>
    <t>UR1.2</t>
  </si>
  <si>
    <t>UR1.3</t>
  </si>
  <si>
    <t>UR1.4</t>
  </si>
  <si>
    <t>UR1.5</t>
  </si>
  <si>
    <t>UR1.6</t>
  </si>
  <si>
    <t>UR1.7</t>
  </si>
  <si>
    <t>UR1.8</t>
  </si>
  <si>
    <t>UR1.9</t>
  </si>
  <si>
    <t>UR1.10</t>
  </si>
  <si>
    <t>UR1.11</t>
  </si>
  <si>
    <t>Section 14: NON-USE
[READ OUT] Now I will read a list of reasons for why some people may decide not to use e-money, mobile money, or digital products and services. For each one that I mention, please tell me whether or not this is a reason why you do not these services.</t>
  </si>
  <si>
    <t>IF FN6_1=2 AND (FN7_1=2 OR SYSMIS(FN7_1)) AND (FN8_1=2 OR SYSMIS(FN8_1))</t>
  </si>
  <si>
    <t>MM12.1</t>
  </si>
  <si>
    <t>MM12.2</t>
  </si>
  <si>
    <t>MM12.3</t>
  </si>
  <si>
    <t>MM12.4</t>
  </si>
  <si>
    <t>MM12.5</t>
  </si>
  <si>
    <t>MM12.6</t>
  </si>
  <si>
    <t>MM12.7</t>
  </si>
  <si>
    <t>MM12.8</t>
  </si>
  <si>
    <t>MM12.9</t>
  </si>
  <si>
    <t>Section 15: BANK NON-USE
[READ OUT] Now I will read a list of reasons why some people do not have bank accounts. For each one that I mention, please tell me whether or not it is a reason why you do not have a bank account.</t>
  </si>
  <si>
    <t>IF FN1_2=2</t>
  </si>
  <si>
    <t>FF3.1</t>
  </si>
  <si>
    <t>FF3.2</t>
  </si>
  <si>
    <t>FF3.3</t>
  </si>
  <si>
    <t>FF3.4</t>
  </si>
  <si>
    <t>SIngle</t>
  </si>
  <si>
    <t>FF3.5</t>
  </si>
  <si>
    <t>FF3.6</t>
  </si>
  <si>
    <t>Section 16: MOBILE FINANCIAL SERVICES
[READ OUT] Now I have some questions about technology and financial activities.  </t>
  </si>
  <si>
    <t>MFS1</t>
  </si>
  <si>
    <t>IF MT2=1 AND FN1_2=1</t>
  </si>
  <si>
    <t>MFS2</t>
  </si>
  <si>
    <t>MFS3</t>
  </si>
  <si>
    <t>IF MFS2=1</t>
  </si>
  <si>
    <t>MFS4</t>
  </si>
  <si>
    <t>MFS5</t>
  </si>
  <si>
    <t>MFS6</t>
  </si>
  <si>
    <t>IF MFS3=1</t>
  </si>
  <si>
    <t>MFS7</t>
  </si>
  <si>
    <t>IF MFS4=1</t>
  </si>
  <si>
    <t>Section 17: SEND AND RECEIVE MONEY
[READ OUT] Now I have some questions about sending money to, or receiving money from other people. The sender or recipient could be anywhere in Indonesia or a foreign country.</t>
  </si>
  <si>
    <t>AD1</t>
  </si>
  <si>
    <t>AD1.1</t>
  </si>
  <si>
    <t>IF AD1=1 AND FN1_1=1</t>
  </si>
  <si>
    <t>AD1.2</t>
  </si>
  <si>
    <t>IF AD1=1 AND MFS2=1</t>
  </si>
  <si>
    <t>AD1.3</t>
  </si>
  <si>
    <t>IF AD1=1 AND FN5_1=1</t>
  </si>
  <si>
    <t>AD1.4</t>
  </si>
  <si>
    <t>IF AD1=1 AND FN7_1=1</t>
  </si>
  <si>
    <t>AD1.5</t>
  </si>
  <si>
    <t>IF AD1=1 AND FN8_1=1</t>
  </si>
  <si>
    <t>AD1.6</t>
  </si>
  <si>
    <t>IF AD1=1 AND FN2_1=1</t>
  </si>
  <si>
    <t>AD1.7</t>
  </si>
  <si>
    <t>IF AD1=1 AND FN3_1=1</t>
  </si>
  <si>
    <t>AD1.8</t>
  </si>
  <si>
    <t>IF AD1=1 AND FN4_1=1</t>
  </si>
  <si>
    <t>AD1.10</t>
  </si>
  <si>
    <t>IF AD1=1 AND FN6_1=1</t>
  </si>
  <si>
    <t>AD1.11</t>
  </si>
  <si>
    <t>IF AD1=1 AND (FN1_6=1 OR FN1_8=1)</t>
  </si>
  <si>
    <t>AD1.12</t>
  </si>
  <si>
    <t>IF AD1=1</t>
  </si>
  <si>
    <t>AD1.13</t>
  </si>
  <si>
    <t>AD1.14</t>
  </si>
  <si>
    <t>IF AD1_1=1</t>
  </si>
  <si>
    <t>AD1.15</t>
  </si>
  <si>
    <t>IF AD1_2=1</t>
  </si>
  <si>
    <t>AD1.16</t>
  </si>
  <si>
    <t>IF AD1_3=1</t>
  </si>
  <si>
    <t>AD1.17</t>
  </si>
  <si>
    <t>IF AD1_4=1</t>
  </si>
  <si>
    <t>AD1.18</t>
  </si>
  <si>
    <t>IF AD1_5=1</t>
  </si>
  <si>
    <t>AD1.19</t>
  </si>
  <si>
    <t>IF AD1_6=1</t>
  </si>
  <si>
    <t>AD1.20</t>
  </si>
  <si>
    <t>IF AD1_7=1</t>
  </si>
  <si>
    <t>AD1.21</t>
  </si>
  <si>
    <t>IF AD1_9=1</t>
  </si>
  <si>
    <t>AD1.23</t>
  </si>
  <si>
    <t>IF AD1_11=1</t>
  </si>
  <si>
    <t>AD1.24</t>
  </si>
  <si>
    <t>AD1.25</t>
  </si>
  <si>
    <t>IF AD1_12=1</t>
  </si>
  <si>
    <t>AD1.26</t>
  </si>
  <si>
    <t>IF AD1_13=1</t>
  </si>
  <si>
    <t>Section 18: MERCHANT PAYMENT
[READ OUT] Now I have some questions about how you buy goods and services at shops, stores, restaraunts or other places of business and online.</t>
  </si>
  <si>
    <t>AD2.1</t>
  </si>
  <si>
    <t>IF FN1_1=1</t>
  </si>
  <si>
    <t>AD2.2</t>
  </si>
  <si>
    <t>AD2.3</t>
  </si>
  <si>
    <t>IF FN7_1=1</t>
  </si>
  <si>
    <t>AD2.4</t>
  </si>
  <si>
    <t>AD2.5</t>
  </si>
  <si>
    <t>IF FN2_1=1</t>
  </si>
  <si>
    <t>AD2.6</t>
  </si>
  <si>
    <t>IF FN3_1=1</t>
  </si>
  <si>
    <t>AD2.7</t>
  </si>
  <si>
    <t>IF FN4_1=1</t>
  </si>
  <si>
    <t>AD2.8</t>
  </si>
  <si>
    <t>IF FN9_1=1</t>
  </si>
  <si>
    <t>may not be applicable for pawnshop</t>
  </si>
  <si>
    <t>AD2.9</t>
  </si>
  <si>
    <t>AD2.10</t>
  </si>
  <si>
    <t>FN1_6=1 OR FN1_8=1</t>
  </si>
  <si>
    <t>AD2.11</t>
  </si>
  <si>
    <t>AD2.12</t>
  </si>
  <si>
    <t>IF AD2_1=1</t>
  </si>
  <si>
    <t>AD2.13</t>
  </si>
  <si>
    <t>IF AD2_2=1</t>
  </si>
  <si>
    <t>AD2.14</t>
  </si>
  <si>
    <t>IF AD2_3=1</t>
  </si>
  <si>
    <t>AD2.15</t>
  </si>
  <si>
    <t>IF AD2_4=1</t>
  </si>
  <si>
    <t>AD2.16</t>
  </si>
  <si>
    <t>IF AD2_5=1</t>
  </si>
  <si>
    <t>AD2.17</t>
  </si>
  <si>
    <t>IF AD2_6=1</t>
  </si>
  <si>
    <t>AD2.18</t>
  </si>
  <si>
    <t>IF AD2_7=1</t>
  </si>
  <si>
    <t>AD2.19</t>
  </si>
  <si>
    <t>IF AD2_8=1</t>
  </si>
  <si>
    <t>WWB: you can't pay goods/services through pawnshops</t>
  </si>
  <si>
    <t>AD2.20</t>
  </si>
  <si>
    <t>IF AD2_9=1</t>
  </si>
  <si>
    <t>AD2.21</t>
  </si>
  <si>
    <t>IF AD2_10=1</t>
  </si>
  <si>
    <t>AD2.22</t>
  </si>
  <si>
    <t>IF AD2_11=1</t>
  </si>
  <si>
    <t>AD2.23</t>
  </si>
  <si>
    <t>1=None
2=A few
3=Some
4=Most
5=Almost all
-2=DK [DO NOT READ]</t>
  </si>
  <si>
    <t>AD2.24</t>
  </si>
  <si>
    <t>give examples</t>
  </si>
  <si>
    <t>AD2.25</t>
  </si>
  <si>
    <t>AD2.26</t>
  </si>
  <si>
    <t>Section 19: BILL PAYMENT
[READ OUT] My next questions are about paying bills for the services that you use. I am interested in all types of bills that you pay, including ones that you pay monthly or at other regular times, and ones that you pay less frequently. Such bills might be for medical treatment, rent or housing, trash collection, electricity, water, solar power, satellite or cable television, or any other bill. Please think about all of the different bills you pay and the way that you pay them when you answer the next questions.</t>
  </si>
  <si>
    <t>AD3</t>
  </si>
  <si>
    <t>AD3.1</t>
  </si>
  <si>
    <t>IF AD3=1 AND FN1_1=1</t>
  </si>
  <si>
    <t>AD3.2</t>
  </si>
  <si>
    <t>IF AD3=1 AND MFS2=1</t>
  </si>
  <si>
    <t>AD3.3</t>
  </si>
  <si>
    <t>IF AD3=1 AND FN5_1=1</t>
  </si>
  <si>
    <t>AD3.4</t>
  </si>
  <si>
    <t>IF AD3=1 AND FN7_1=1</t>
  </si>
  <si>
    <t>AD3.5</t>
  </si>
  <si>
    <t>IF AD3=1 AND FN8_1=1</t>
  </si>
  <si>
    <t>is this referring to using LKD/Laku Pandai agents?</t>
  </si>
  <si>
    <t>AD3.6</t>
  </si>
  <si>
    <t>IF AD3=1 AND FN2_1=1</t>
  </si>
  <si>
    <t>AD3.7</t>
  </si>
  <si>
    <t>IF AD3=1 AND FN3_1=1</t>
  </si>
  <si>
    <t>AD3.8</t>
  </si>
  <si>
    <t>IF AD3=1 AND FN4_1=1</t>
  </si>
  <si>
    <t>AD3.10</t>
  </si>
  <si>
    <t>IF AD3=1 AND FN6_1=1</t>
  </si>
  <si>
    <t>AD3.11</t>
  </si>
  <si>
    <t>IF AD3=1 AND (FN1_6=1 OR FN1_8=1)</t>
  </si>
  <si>
    <t>AD3.12</t>
  </si>
  <si>
    <t>IF AD3=1</t>
  </si>
  <si>
    <t>AD3.13</t>
  </si>
  <si>
    <t>IF AD3_1=1</t>
  </si>
  <si>
    <t>AD3.14</t>
  </si>
  <si>
    <t>IF AD3_2=1</t>
  </si>
  <si>
    <t>AD3.15</t>
  </si>
  <si>
    <t>IF AD3_3=1</t>
  </si>
  <si>
    <t>AD3.16</t>
  </si>
  <si>
    <t>IF AD3_4=1</t>
  </si>
  <si>
    <t>AD3.17</t>
  </si>
  <si>
    <t>IF AD3_5=1</t>
  </si>
  <si>
    <t>AD3.18</t>
  </si>
  <si>
    <t>IF AD3_6=1</t>
  </si>
  <si>
    <t>AD3.19</t>
  </si>
  <si>
    <t>IF AD3_7=1</t>
  </si>
  <si>
    <t>AD3.20</t>
  </si>
  <si>
    <t>IF AD3_8=1</t>
  </si>
  <si>
    <t>AD3.22</t>
  </si>
  <si>
    <t>IF AD3_10=1</t>
  </si>
  <si>
    <t>AD3.23</t>
  </si>
  <si>
    <t>IF AD3_11=1</t>
  </si>
  <si>
    <t>AD3.24</t>
  </si>
  <si>
    <t>IF AD3_12=1</t>
  </si>
  <si>
    <t>AD3.25</t>
  </si>
  <si>
    <t>1=Almost always
2=Often
3=Sometimes
4=Rarely
5=Almost never</t>
  </si>
  <si>
    <t>Section 20: SCHOOL FEES
[READ OUT] My next questions are about paying fees for school, education, or training. The payments I have in mind include the cost of tuition for attending a school or taking a training course, or the cost of books, uniforms, supplies, payments to teachers or other educational expenses. Please keep all of these expenses in mind when you answer the following questions.</t>
  </si>
  <si>
    <t>AD4</t>
  </si>
  <si>
    <t>AD4.1</t>
  </si>
  <si>
    <t>IF AD4=1 AND FN1_1=1</t>
  </si>
  <si>
    <t>AD4.2</t>
  </si>
  <si>
    <t>IF AD4=1 AND MFS2=1</t>
  </si>
  <si>
    <t>AD4.3</t>
  </si>
  <si>
    <t>IF AD4=1 AND FN5_1=1</t>
  </si>
  <si>
    <t>AD4.4</t>
  </si>
  <si>
    <t>IF AD4=1 AND FN7_1=1</t>
  </si>
  <si>
    <t>AD4.5</t>
  </si>
  <si>
    <t>IF AD4=1 AND FN8_1=1</t>
  </si>
  <si>
    <t>AD4.6</t>
  </si>
  <si>
    <t>IF AD4=1 AND FN2_1=1</t>
  </si>
  <si>
    <t>AD4.7</t>
  </si>
  <si>
    <t>IF AD4=1 AND FN3_1=1</t>
  </si>
  <si>
    <t>AD4.8</t>
  </si>
  <si>
    <t>IF AD4=1 AND FN4_1=1</t>
  </si>
  <si>
    <t>AD4.9</t>
  </si>
  <si>
    <t>IF AD4=1 AND (FN1_6=1 OR FN1_8=1)</t>
  </si>
  <si>
    <t>AD4.10</t>
  </si>
  <si>
    <t>IF AD4=1</t>
  </si>
  <si>
    <t>AD4.11</t>
  </si>
  <si>
    <t>IF AD4_1=1</t>
  </si>
  <si>
    <t>AD4.12</t>
  </si>
  <si>
    <t>IF AD4_2=1</t>
  </si>
  <si>
    <t>AD4.13</t>
  </si>
  <si>
    <t>IF AD4_3=1</t>
  </si>
  <si>
    <t>AD4.14</t>
  </si>
  <si>
    <t>IF AD4_4=1</t>
  </si>
  <si>
    <t>AD4.15</t>
  </si>
  <si>
    <t>IF AD4_5=1</t>
  </si>
  <si>
    <t>AD4.16</t>
  </si>
  <si>
    <t>IF AD4_6=1</t>
  </si>
  <si>
    <t>AD4.17</t>
  </si>
  <si>
    <t>IF AD4_7=1</t>
  </si>
  <si>
    <t>AD4.18</t>
  </si>
  <si>
    <t>IF AD4_8=1</t>
  </si>
  <si>
    <t>AD4.19</t>
  </si>
  <si>
    <t>IF AD4_9=1</t>
  </si>
  <si>
    <t>AD4.20</t>
  </si>
  <si>
    <t>IF AD4_10=1</t>
  </si>
  <si>
    <t>Section 21: PAYMENTS TO THE GOVERNMENT
[READ OUT] Now I have some questions about payments to the government. These payment include all types of taxes, fines, fees, or other payments that the government requires. </t>
  </si>
  <si>
    <t>AD5</t>
  </si>
  <si>
    <t>All</t>
  </si>
  <si>
    <t>AD5.1</t>
  </si>
  <si>
    <t>IF AD5=1 AND FN1_1=1</t>
  </si>
  <si>
    <t>AD5.2</t>
  </si>
  <si>
    <t>IF AD5=1 AND MFS2=1</t>
  </si>
  <si>
    <t>AD5.3</t>
  </si>
  <si>
    <t>IF AD5=1 AND FN5_1=1</t>
  </si>
  <si>
    <t>AD5.4</t>
  </si>
  <si>
    <t>IF AD5=1 AND FN7_1=1</t>
  </si>
  <si>
    <t>AD5.5</t>
  </si>
  <si>
    <t>IF AD5=1 AND FN8_1=1</t>
  </si>
  <si>
    <t>AD5.6</t>
  </si>
  <si>
    <t>IF AD5=1 AND FN2_1=1</t>
  </si>
  <si>
    <t>AD5.7</t>
  </si>
  <si>
    <t>IF AD5=1 AND FN3_1=1</t>
  </si>
  <si>
    <t>AD5.8</t>
  </si>
  <si>
    <t>IF AD5=1 AND FN4_1=1</t>
  </si>
  <si>
    <t>AD5.9</t>
  </si>
  <si>
    <t>IF AD5=1 AND (FN1_6=1 OR FN1_8=1)</t>
  </si>
  <si>
    <t>AD5.10</t>
  </si>
  <si>
    <t>IF AD5=1</t>
  </si>
  <si>
    <t>AD5.11</t>
  </si>
  <si>
    <t>IF AD5_1=1</t>
  </si>
  <si>
    <t>AD5.12</t>
  </si>
  <si>
    <t>IF AD5_2=1</t>
  </si>
  <si>
    <t>AD5.13</t>
  </si>
  <si>
    <t>IF AD5_3=1</t>
  </si>
  <si>
    <t>AD5.14</t>
  </si>
  <si>
    <t>IF AD5_4=1</t>
  </si>
  <si>
    <t>AD5.15</t>
  </si>
  <si>
    <t>IF AD5_5=1</t>
  </si>
  <si>
    <t>AD5.16</t>
  </si>
  <si>
    <t>IF AD5_6=1</t>
  </si>
  <si>
    <t>AD5.17</t>
  </si>
  <si>
    <t>IF AD5_7=1</t>
  </si>
  <si>
    <t>AD5.18</t>
  </si>
  <si>
    <t>IF AD5_8=1</t>
  </si>
  <si>
    <t>AD5.19</t>
  </si>
  <si>
    <t>IF AD5_9=1</t>
  </si>
  <si>
    <t>AD5.20</t>
  </si>
  <si>
    <t>IF AD5_10=1</t>
  </si>
  <si>
    <t>Section 22: PAYMENTS FROM THE GOVERNMENT
[READ OUT] The next questions are about receiving money from the government. Many people in Indonesia recieve money from the government for many different reasons. Payments could include government scheme benefits, tax refunds, educational stipends, subsidies, pensions, or other types of government payments. Please think about all the ways you have received money from the government when you answer the next questions.</t>
  </si>
  <si>
    <t>AD6</t>
  </si>
  <si>
    <t>AD6.1</t>
  </si>
  <si>
    <t>IF AD6=1 AND FN1_1=1</t>
  </si>
  <si>
    <t>AD6.2</t>
  </si>
  <si>
    <t>IF AD6=1 AND MFS2=1</t>
  </si>
  <si>
    <t>AD6.3</t>
  </si>
  <si>
    <t>IF AD6=1 AND FN5_1=1</t>
  </si>
  <si>
    <t>AD6.4</t>
  </si>
  <si>
    <t>IF AD6=1 AND FN7_1=1</t>
  </si>
  <si>
    <t>AD6.5</t>
  </si>
  <si>
    <t>IF AD6=1 AND FN8_1=1</t>
  </si>
  <si>
    <t>AD6.6</t>
  </si>
  <si>
    <t>IF AD6=1 AND FN2_1=1</t>
  </si>
  <si>
    <t>AD6.7</t>
  </si>
  <si>
    <t>IF AD6=1 AND FN3_1=1</t>
  </si>
  <si>
    <t>AD6.8</t>
  </si>
  <si>
    <t>IF AD6=1 AND FN4_1=1</t>
  </si>
  <si>
    <t>AD6.9</t>
  </si>
  <si>
    <t>IF AD6=1 AND (FN1_6=1 OR FN1_8=1)</t>
  </si>
  <si>
    <t>AD6.10</t>
  </si>
  <si>
    <t>IF AD6=1</t>
  </si>
  <si>
    <t>AD6.11</t>
  </si>
  <si>
    <t>IF AD6_1=1</t>
  </si>
  <si>
    <t>AD6.12</t>
  </si>
  <si>
    <t>IF AD6_2=1</t>
  </si>
  <si>
    <t>AD6.13</t>
  </si>
  <si>
    <t>IF AD6_3=1</t>
  </si>
  <si>
    <t>AD6.14</t>
  </si>
  <si>
    <t>IF AD6_4=1</t>
  </si>
  <si>
    <t>AD6.15</t>
  </si>
  <si>
    <t>IF AD6_5=1</t>
  </si>
  <si>
    <t>AD6.16</t>
  </si>
  <si>
    <t>IF AD6_6=1</t>
  </si>
  <si>
    <t>AD6.17</t>
  </si>
  <si>
    <t>IF AD6_7=1</t>
  </si>
  <si>
    <t>AD6.18</t>
  </si>
  <si>
    <t>IF AD6_8=1</t>
  </si>
  <si>
    <t>AD6.19</t>
  </si>
  <si>
    <t>IF AD6_9=1</t>
  </si>
  <si>
    <t>AD6.20</t>
  </si>
  <si>
    <t>IF AD6_10=1</t>
  </si>
  <si>
    <t>Section 23: RECEIVE WAGES
[READ OUT] The next question are about receiving payments or wages from an employer. Payments from employers include any money paid to you for work that you perform. I am interested in all kinds of payments from employers, including regular payments that you might recieve every week or month, and payments that you might recieve for specific tasks or jobs that you do when work is available or offered to you by an employer. Please keep all of these types of payments from employers in mind when you answer the next questions.</t>
  </si>
  <si>
    <t>AD7</t>
  </si>
  <si>
    <t>AD7.1</t>
  </si>
  <si>
    <t>IF AD7=1 AND FN1_1=1</t>
  </si>
  <si>
    <t>AD7.2</t>
  </si>
  <si>
    <t>IF AD7=1 AND MFS2=1</t>
  </si>
  <si>
    <t>AD7.3</t>
  </si>
  <si>
    <t>IF AD7=1 AND FN5_1=1</t>
  </si>
  <si>
    <t>AD7.4</t>
  </si>
  <si>
    <t>IF AD7=1 AND FN7_1=1</t>
  </si>
  <si>
    <t>AD7.5</t>
  </si>
  <si>
    <t>IF AD7=1 AND FN8_1=1</t>
  </si>
  <si>
    <t>AD7.6</t>
  </si>
  <si>
    <t>IF AD7=1 AND FN2_1=1</t>
  </si>
  <si>
    <t>AD7.7</t>
  </si>
  <si>
    <t>IF AD7=1 AND FN3_1=1</t>
  </si>
  <si>
    <t>AD7.8</t>
  </si>
  <si>
    <t>IF AD7=1 AND FN4_1=1</t>
  </si>
  <si>
    <t>AD7.9</t>
  </si>
  <si>
    <t>IF AD7=1 AND (FN1_6=1 OR FN1_8=1)</t>
  </si>
  <si>
    <t>AD7.10</t>
  </si>
  <si>
    <t>IF AD7=1</t>
  </si>
  <si>
    <t>AD7.11</t>
  </si>
  <si>
    <t>IF AD7_1=1</t>
  </si>
  <si>
    <t>AD7.12</t>
  </si>
  <si>
    <t>IF AD7_2=1</t>
  </si>
  <si>
    <t>AD7.13</t>
  </si>
  <si>
    <t>IF AD7_3=1</t>
  </si>
  <si>
    <t>AD7.14</t>
  </si>
  <si>
    <t>IF AD7_4=1</t>
  </si>
  <si>
    <t>AD7.15</t>
  </si>
  <si>
    <t>IF AD7_5=1</t>
  </si>
  <si>
    <t>AD7.16</t>
  </si>
  <si>
    <t>IF AD7_6=1</t>
  </si>
  <si>
    <t>AD7.17</t>
  </si>
  <si>
    <t>IF AD7_7=1</t>
  </si>
  <si>
    <t>AD7.18</t>
  </si>
  <si>
    <t>IF AD7_8=1</t>
  </si>
  <si>
    <t>AD7.19</t>
  </si>
  <si>
    <t>IF AD7_9=1</t>
  </si>
  <si>
    <t>AD7.20</t>
  </si>
  <si>
    <t>IF AD7_10=1</t>
  </si>
  <si>
    <t>Section 24: INSURANCE
[READ OUT] Now I would like to ask some questions about protecting oneself from risks to your health, life, and property. Some people have a pension or insurance to get income in their old age. Some people have insurance to pay for medical expenses or get income if they cannot work because they are sick or hurt. Others have insurance to protect valuable assets, such as crops, cars, property, cattle, and so on. Insurance may be provided through several different government schemes as well as purchased from private sources. Please think about all of these different ways of insuring yourself when you answer the next questions.</t>
  </si>
  <si>
    <t>AD8</t>
  </si>
  <si>
    <t>AD8.1</t>
  </si>
  <si>
    <t>IF AD8=1 AND FN1_1=1</t>
  </si>
  <si>
    <t>AD8.2</t>
  </si>
  <si>
    <t>IF AD8=1 AND MFS2=1</t>
  </si>
  <si>
    <t>AD8.3</t>
  </si>
  <si>
    <t>IF AD8=1 AND FN5_1=1</t>
  </si>
  <si>
    <t>AD8.4</t>
  </si>
  <si>
    <t>IF AD8=1 AND FN7_1=1</t>
  </si>
  <si>
    <t>AD8.5</t>
  </si>
  <si>
    <t>IF AD8=1 AND FN8_1=1</t>
  </si>
  <si>
    <t>AD8.6</t>
  </si>
  <si>
    <t>IF AD8=1 AND FN2_1=1</t>
  </si>
  <si>
    <t>AD8.7</t>
  </si>
  <si>
    <t>IF AD8=1 AND FN3_1=1</t>
  </si>
  <si>
    <t>AD8.8</t>
  </si>
  <si>
    <t>IF AD8=1 AND FN4_1=1</t>
  </si>
  <si>
    <t>AD8.9</t>
  </si>
  <si>
    <t>IF AD8=1 AND (FN1_6=1 OR FN1_8=1)</t>
  </si>
  <si>
    <t>AD8.10</t>
  </si>
  <si>
    <t xml:space="preserve">IF AD8=1 </t>
  </si>
  <si>
    <t>AD8.11</t>
  </si>
  <si>
    <t>IF AD8_1=1</t>
  </si>
  <si>
    <t>AD8.12</t>
  </si>
  <si>
    <t>IF AD8_2=1</t>
  </si>
  <si>
    <t>AD8.13</t>
  </si>
  <si>
    <t>IF AD8_3=1</t>
  </si>
  <si>
    <t>AD8.14</t>
  </si>
  <si>
    <t>IF AD8_4=1</t>
  </si>
  <si>
    <t>AD8.15</t>
  </si>
  <si>
    <t>IF AD8_5=1</t>
  </si>
  <si>
    <t>AD8.16</t>
  </si>
  <si>
    <t>IF AD8_6=1</t>
  </si>
  <si>
    <t>AD8.17</t>
  </si>
  <si>
    <t>IF AD8_7=1</t>
  </si>
  <si>
    <t>AD8.18</t>
  </si>
  <si>
    <t>IF AD8_8=1</t>
  </si>
  <si>
    <t>AD8.19</t>
  </si>
  <si>
    <t>IF AD8_9=1</t>
  </si>
  <si>
    <t>AD8.20</t>
  </si>
  <si>
    <t>IF AD8_10=1</t>
  </si>
  <si>
    <t>FB27.1</t>
  </si>
  <si>
    <t>1=Yes 
2=No</t>
  </si>
  <si>
    <t>FB27.2</t>
  </si>
  <si>
    <t>FB27.3</t>
  </si>
  <si>
    <t>FB27.4</t>
  </si>
  <si>
    <t>FB27.5</t>
  </si>
  <si>
    <t>FB27.6</t>
  </si>
  <si>
    <t>FB27.7</t>
  </si>
  <si>
    <t>FB27.8</t>
  </si>
  <si>
    <t>FB27.9</t>
  </si>
  <si>
    <t>FB27.10</t>
  </si>
  <si>
    <t>FB27.11</t>
  </si>
  <si>
    <t>FB27.12</t>
  </si>
  <si>
    <t>FB27.13</t>
  </si>
  <si>
    <t>FB27.14</t>
  </si>
  <si>
    <t>FB28.1</t>
  </si>
  <si>
    <t>FB28.2</t>
  </si>
  <si>
    <t>Section 25: SAVING 
[READ OUT] Now I would like to ask some questions about saving money. There are many ways to save. Some people use banks or other financial institutions. Some keep cash somewhere at home, hidden in a safe place, or give it to a friend, family member, or other trusted person for safekeeping. Others buy things such as gold, property, livestock or other assets as a way to save. Please think about all of these ways of saving when you answer the next questions.</t>
  </si>
  <si>
    <t>AD9</t>
  </si>
  <si>
    <t>AD9A</t>
  </si>
  <si>
    <t>IF AD9=1</t>
  </si>
  <si>
    <t>AD9B</t>
  </si>
  <si>
    <t>AD9.1</t>
  </si>
  <si>
    <t>IF AD9=1 AND FN1_1=1</t>
  </si>
  <si>
    <t>AD9.2</t>
  </si>
  <si>
    <t>IF AD9=1 AND MFS2=1</t>
  </si>
  <si>
    <t>AD9.3</t>
  </si>
  <si>
    <t>IF AD9=1 AND FN5_1=1</t>
  </si>
  <si>
    <t>AD9.4</t>
  </si>
  <si>
    <t>IF AD9=1 AND FN7_1=1</t>
  </si>
  <si>
    <t>AD9.5</t>
  </si>
  <si>
    <t>IF AD9=1 AND FN8_1=1</t>
  </si>
  <si>
    <t>AD9.6</t>
  </si>
  <si>
    <t>IF AD9=1 AND FN2_1=1</t>
  </si>
  <si>
    <t>AD9.7</t>
  </si>
  <si>
    <t>IF AD9=1 AND FN3_1=1</t>
  </si>
  <si>
    <t>AD9.8</t>
  </si>
  <si>
    <t>IF AD9=1 AND FN4_1=1</t>
  </si>
  <si>
    <t>AD9.9</t>
  </si>
  <si>
    <t>IF AD9=1 AND FN9_1=1</t>
  </si>
  <si>
    <t>AD9.10</t>
  </si>
  <si>
    <t>IF AD9=1 AND FN11_1=1</t>
  </si>
  <si>
    <t>AD9.11</t>
  </si>
  <si>
    <t>AD9.12</t>
  </si>
  <si>
    <t>IF AD9_1=1</t>
  </si>
  <si>
    <t>AD9.13</t>
  </si>
  <si>
    <t>IF AD9_2=1</t>
  </si>
  <si>
    <t>AD9.14</t>
  </si>
  <si>
    <t>IF AD9_3=1</t>
  </si>
  <si>
    <t>AD9.15</t>
  </si>
  <si>
    <t>IF AD9_4=1</t>
  </si>
  <si>
    <t>AD9.16</t>
  </si>
  <si>
    <t>IF AD9_5=1</t>
  </si>
  <si>
    <t>AD9.17</t>
  </si>
  <si>
    <t>IF AD9_6=1</t>
  </si>
  <si>
    <t>AD9.18</t>
  </si>
  <si>
    <t>IF AD9_7=1</t>
  </si>
  <si>
    <t>AD9.19</t>
  </si>
  <si>
    <t>IF AD9_8=1</t>
  </si>
  <si>
    <t>AD9.20</t>
  </si>
  <si>
    <t>IF AD9_9=1</t>
  </si>
  <si>
    <t>AD9.21</t>
  </si>
  <si>
    <t>IF AD9_10=1</t>
  </si>
  <si>
    <t>AD9.22</t>
  </si>
  <si>
    <t>IF AD9_11=1</t>
  </si>
  <si>
    <t>Section 26: INVESTING
[READ OUT] The next questions are on investing, or putting money into a place where you expect it to increase as time goes by. There are many ways to invest money. Some people invest in their own business or the businesses of family, friends, or other acquaintances when they expect that the business will grow. Other people invest money by buying property, stocks, bonds, gold, artwork, or other things that they expect will increase in value in the future. Please think about all these types of investments when you answer the next questions. </t>
  </si>
  <si>
    <t>AD10.1</t>
  </si>
  <si>
    <t>IF AD10=1</t>
  </si>
  <si>
    <t>AD10.2</t>
  </si>
  <si>
    <t>AD10.3</t>
  </si>
  <si>
    <t>AD10.4</t>
  </si>
  <si>
    <t>AD10.5</t>
  </si>
  <si>
    <t>AD10.6</t>
  </si>
  <si>
    <t>AD10.7</t>
  </si>
  <si>
    <t>AD10.8</t>
  </si>
  <si>
    <t>AD10.9</t>
  </si>
  <si>
    <t>IF AD10_1=1</t>
  </si>
  <si>
    <t>AD10.10</t>
  </si>
  <si>
    <t>IF AD10_2=1</t>
  </si>
  <si>
    <t>AD10.11</t>
  </si>
  <si>
    <t>IF AD10_3=1</t>
  </si>
  <si>
    <t>AD10.12</t>
  </si>
  <si>
    <t>IF AD10_4=1</t>
  </si>
  <si>
    <t>AD10.13</t>
  </si>
  <si>
    <t>IF AD10_5=1</t>
  </si>
  <si>
    <t>AD10.14</t>
  </si>
  <si>
    <t>IF AD10_6=1</t>
  </si>
  <si>
    <t>AD10.15</t>
  </si>
  <si>
    <t>IF AD10_7=1</t>
  </si>
  <si>
    <t>AD10.16</t>
  </si>
  <si>
    <t>IF AD10_8=1</t>
  </si>
  <si>
    <t>AD10.17</t>
  </si>
  <si>
    <t>IF AD10=1 AND FN1_1=1</t>
  </si>
  <si>
    <t>AD10.18</t>
  </si>
  <si>
    <t>IF AD10=1 AND MFS2=1</t>
  </si>
  <si>
    <t>AD10.19</t>
  </si>
  <si>
    <t>IF AD10=1 AND FN5_1=1</t>
  </si>
  <si>
    <t>AD10.20</t>
  </si>
  <si>
    <t>IF AD10=1 AND FN7_1=1</t>
  </si>
  <si>
    <t>AD10.21</t>
  </si>
  <si>
    <t>IF AD10=1 AND FN8_1=1</t>
  </si>
  <si>
    <t>AD10.22</t>
  </si>
  <si>
    <t>IF AD10=1 AND FN2_1=1</t>
  </si>
  <si>
    <t>AD10.23</t>
  </si>
  <si>
    <t>IF AD10=1 AND FN3_1=1</t>
  </si>
  <si>
    <t>AD10.24</t>
  </si>
  <si>
    <t>IF AD10=1 AND FN4_1=1</t>
  </si>
  <si>
    <t>AD10.25</t>
  </si>
  <si>
    <t>IF AD10=1 AND FN11_1=1</t>
  </si>
  <si>
    <t>AD10.26</t>
  </si>
  <si>
    <t>IF AD10_17=1</t>
  </si>
  <si>
    <t>AD10.27</t>
  </si>
  <si>
    <t>IF AD10_18=1</t>
  </si>
  <si>
    <t>AD10.28</t>
  </si>
  <si>
    <t>IF AD10_19=1</t>
  </si>
  <si>
    <t>AD10.29</t>
  </si>
  <si>
    <t>IF AD10_20=1</t>
  </si>
  <si>
    <t>AD10.30</t>
  </si>
  <si>
    <t>IF AD10_21=1</t>
  </si>
  <si>
    <t>AD10.31</t>
  </si>
  <si>
    <t>IF AD10_22=1</t>
  </si>
  <si>
    <t>AD10.32</t>
  </si>
  <si>
    <t>IF AD10_23=1</t>
  </si>
  <si>
    <t>AD10.33</t>
  </si>
  <si>
    <t>IF AD10_24=1</t>
  </si>
  <si>
    <t>AD10.34</t>
  </si>
  <si>
    <t>IF AD10_25=1</t>
  </si>
  <si>
    <t>Section 27: BORROWING
[READ OUT] Borrowing is an important way for people to meet their financial goals and almost everyone has borrowed money at one time or another. Different people borrow from various sources such as friends, family, banks or other financial institutions. Furthermore, people often purchase goods and services on credit and defer the payment to a later time. Please think about all these ways of borrowing when you answer the following questions.</t>
  </si>
  <si>
    <t>AD11</t>
  </si>
  <si>
    <t>AD11.1</t>
  </si>
  <si>
    <t>IF AD11=1 AND FN1_1=1</t>
  </si>
  <si>
    <t>AD11.2</t>
  </si>
  <si>
    <t>IF AD11=1 AND MFS2=1</t>
  </si>
  <si>
    <t>AD11.3</t>
  </si>
  <si>
    <t>IF AD11=1 AND FN5_1=1</t>
  </si>
  <si>
    <t>AD11.4</t>
  </si>
  <si>
    <t>IF AD11=1 AND FN7_1=1</t>
  </si>
  <si>
    <t>AD11.5</t>
  </si>
  <si>
    <t>IF AD11=1 AND FN8_1=1</t>
  </si>
  <si>
    <t>AD11.6</t>
  </si>
  <si>
    <t>IF AD11=1 AND FN2_1=1</t>
  </si>
  <si>
    <t>AD11.7</t>
  </si>
  <si>
    <t>IF AD11=1 AND FN3_1=1</t>
  </si>
  <si>
    <t>AD11.8</t>
  </si>
  <si>
    <t>IF AD11=1 AND FN4_1=1</t>
  </si>
  <si>
    <t>AD11.9</t>
  </si>
  <si>
    <t>IF AD11=1 AND FN9_1=1</t>
  </si>
  <si>
    <t>AD11.10</t>
  </si>
  <si>
    <t>IF AD11=1 AND FN6_1=1</t>
  </si>
  <si>
    <t>AD11.11</t>
  </si>
  <si>
    <t>IF AD11=1 AND FN1_8=1</t>
  </si>
  <si>
    <t>AD11.12</t>
  </si>
  <si>
    <t>IF AD11=1 AND FN10_1=1</t>
  </si>
  <si>
    <t>AD11.13</t>
  </si>
  <si>
    <t>IF AD11=1 AND FN11_1=1</t>
  </si>
  <si>
    <t>AD11.14</t>
  </si>
  <si>
    <t>IF AD11=1</t>
  </si>
  <si>
    <t>AD11.15</t>
  </si>
  <si>
    <t>IF AD11_1=1</t>
  </si>
  <si>
    <t>AD11.16</t>
  </si>
  <si>
    <t>IF AD11_2=1</t>
  </si>
  <si>
    <t>AD11.17</t>
  </si>
  <si>
    <t>IF AD11_3=1</t>
  </si>
  <si>
    <t>AD11.18</t>
  </si>
  <si>
    <t>IF AD11_4=1</t>
  </si>
  <si>
    <t>AD11.19</t>
  </si>
  <si>
    <t>IF AD11_5=1</t>
  </si>
  <si>
    <t>AD11.20</t>
  </si>
  <si>
    <t>IF AD11_6=1</t>
  </si>
  <si>
    <t>AD11.21</t>
  </si>
  <si>
    <t>IF AD11_7=1</t>
  </si>
  <si>
    <t>AD11.22</t>
  </si>
  <si>
    <t>IF AD11_8=1</t>
  </si>
  <si>
    <t>AD11.23</t>
  </si>
  <si>
    <t>IF AD11_9=1</t>
  </si>
  <si>
    <t>AD11.24</t>
  </si>
  <si>
    <t>IF AD11_10=1</t>
  </si>
  <si>
    <t>AD11.25</t>
  </si>
  <si>
    <t>IF AD11_11=1</t>
  </si>
  <si>
    <t>AD11.26</t>
  </si>
  <si>
    <t>IF AD11_12=1</t>
  </si>
  <si>
    <t>AD11.27</t>
  </si>
  <si>
    <t>1=Today
2=In the past 7 days
3=In the past 30 days
4=In the past 90 days
5=Between 90 days and 1 year
6=More than 2 year</t>
  </si>
  <si>
    <t>IF AD11_13=1</t>
  </si>
  <si>
    <t>AD11.28</t>
  </si>
  <si>
    <t>1=Today
2=In the past 7 days
3=In the past 30 days
4=In the past 90 days
5=Between 90 days and 1 year
6=More than 3 year</t>
  </si>
  <si>
    <t>IF AD11_14=1</t>
  </si>
  <si>
    <t>1=Almost always
2=Often
3=Sometimes
4=Rarely
5=Almost never
6=No deadline [DO NOT READ]
-3=REF [DO NOT READ]
-2=DK [DO NOT READ]</t>
  </si>
  <si>
    <t>FB19.1</t>
  </si>
  <si>
    <t>FB19.2</t>
  </si>
  <si>
    <t>FB19.3</t>
  </si>
  <si>
    <t>FB19.4</t>
  </si>
  <si>
    <t>FB19.5</t>
  </si>
  <si>
    <t>Section 28: REASONS FOR USING MOBILE FINANCIAL SERVICES ON MOBILE PHONE
[READ OUT] Now I will read a list of reasons why some people start using financial services on their mobile phone. For each one that I read, please tell me is this a reason why you started using financial services on your mobile phone.</t>
  </si>
  <si>
    <t>IF FN7_1=1 OR MFS2=1</t>
  </si>
  <si>
    <t>MM5.1</t>
  </si>
  <si>
    <t>MM5.2</t>
  </si>
  <si>
    <t>MM5.3</t>
  </si>
  <si>
    <t>MM5.4</t>
  </si>
  <si>
    <t>MM5.5</t>
  </si>
  <si>
    <t>MM5.6</t>
  </si>
  <si>
    <t>MM5.7</t>
  </si>
  <si>
    <t>MM5.8</t>
  </si>
  <si>
    <t>MM5.9</t>
  </si>
  <si>
    <t>SIM CARD PROVIDER</t>
  </si>
  <si>
    <t>MOBILE MONEY PROVIDER</t>
  </si>
  <si>
    <t>Agent banking product</t>
  </si>
  <si>
    <t>Bank eWallet</t>
  </si>
  <si>
    <t>Prepaid cards</t>
  </si>
  <si>
    <t>Telkomsel (Simpati, Halo, Kartu As)</t>
  </si>
  <si>
    <t>PayPro/Dompetku (Indosat)</t>
  </si>
  <si>
    <t>Agen BRILink (TabunganKU BSA)</t>
  </si>
  <si>
    <t>MoCash</t>
  </si>
  <si>
    <t>Mega Virtual</t>
  </si>
  <si>
    <t xml:space="preserve">Indomaret Card, GazCard, Flazz, Mega Cash, TapCash, BRIZZI to buy things </t>
  </si>
  <si>
    <t>Indosat (IM3, Mentari, Matrix)</t>
  </si>
  <si>
    <t>E-Cash (Bank Mandiri)</t>
  </si>
  <si>
    <t>Agen Griya Bayar Bank BTN</t>
  </si>
  <si>
    <t>Skye</t>
  </si>
  <si>
    <t>Rekening Ponsel </t>
  </si>
  <si>
    <t>E-Toll Card, JakCard to pay for transportation</t>
  </si>
  <si>
    <t>XL</t>
  </si>
  <si>
    <t>Rekening Ponsel (CIMB Niaga)</t>
  </si>
  <si>
    <t>AGEN46 (BNI Pandai)</t>
  </si>
  <si>
    <t>Sakuku</t>
  </si>
  <si>
    <t>T-Cash (Telkomsel)</t>
  </si>
  <si>
    <t>AXIS</t>
  </si>
  <si>
    <t>XL Tunai (XL Axiata)</t>
  </si>
  <si>
    <t>BTPN  WOW</t>
  </si>
  <si>
    <t>T-Bank</t>
  </si>
  <si>
    <t>Esia</t>
  </si>
  <si>
    <t>Mandiri Simakmur (AgenMU)</t>
  </si>
  <si>
    <t>SmartFren</t>
  </si>
  <si>
    <t>Another digital financial services (LKD) and/or Laku Pandai agent that I didn't mention</t>
  </si>
  <si>
    <t>Another provider not on my list</t>
  </si>
  <si>
    <t>Sakuku BCA</t>
  </si>
  <si>
    <t>T-Bank BRI</t>
  </si>
  <si>
    <t>Another mobile money service that I didn't mention</t>
  </si>
  <si>
    <t>INSTITUTION 1</t>
  </si>
  <si>
    <t>Send and receive money</t>
  </si>
  <si>
    <t>merchant payment</t>
  </si>
  <si>
    <t>bill payment</t>
  </si>
  <si>
    <t>school fees</t>
  </si>
  <si>
    <t>payments to government</t>
  </si>
  <si>
    <t>payments from government</t>
  </si>
  <si>
    <t>receive wages</t>
  </si>
  <si>
    <t>insurance</t>
  </si>
  <si>
    <t>saving</t>
  </si>
  <si>
    <t>investing</t>
  </si>
  <si>
    <t>borrowing</t>
  </si>
  <si>
    <t>bank</t>
  </si>
  <si>
    <t>a bank</t>
  </si>
  <si>
    <t>a smartphone app</t>
  </si>
  <si>
    <t>cooperative product or service (koperasi (BMT, Credit Union, KSP), ventura or lembaga keungan mikro (LKM))</t>
  </si>
  <si>
    <t>a mobile money service</t>
  </si>
  <si>
    <t>Baitul Maal wat Tamwil (BMT)</t>
  </si>
  <si>
    <t>digital financial services (LKD) and/or Laku Pandai</t>
  </si>
  <si>
    <t>a Bank Perkreditan Rakyat (BPR)</t>
  </si>
  <si>
    <t>e-money</t>
  </si>
  <si>
    <t>a koperasi (BMT, Credit Union, KSP), ventura or lembaga keungan mikro (LKM)</t>
  </si>
  <si>
    <t>mobile money service</t>
  </si>
  <si>
    <t>a Baitul Maal wat Tamwil (BMT)</t>
  </si>
  <si>
    <t>a pawnshop</t>
  </si>
  <si>
    <t>pawnshop</t>
  </si>
  <si>
    <t>an e-money card</t>
  </si>
  <si>
    <t>a debit or credit card</t>
  </si>
  <si>
    <t>arisan, money guard, or other informal financial groups</t>
  </si>
  <si>
    <t>multifinance  (e.g. Adira, FIF, BAF, AAC, etc.)</t>
  </si>
  <si>
    <t>cash</t>
  </si>
  <si>
    <t>in cash in a safe place at home or on your person</t>
  </si>
  <si>
    <t>a credit card</t>
  </si>
  <si>
    <t>a money transfer agent</t>
  </si>
  <si>
    <t>a multifinance  (e.g. Adira, FIF, BAF, AAC, etc.)</t>
  </si>
  <si>
    <t>in cash by public or private transportation</t>
  </si>
  <si>
    <t>money lender (pengepul, supplier/ pemasok, etc.)</t>
  </si>
  <si>
    <t>Activity 1</t>
  </si>
  <si>
    <t>Activity 2</t>
  </si>
  <si>
    <t>paid a fee for school, education, or training</t>
  </si>
  <si>
    <t>pay a fee for school, education, or training</t>
  </si>
  <si>
    <t>paid a bill for medical treatment, housing, trash collection, electricity, water, solar, television or any other bill</t>
  </si>
  <si>
    <t>pay a bill for medical treatment, housing, trash collection, electricity, water, solar, television or any other bill</t>
  </si>
  <si>
    <t>paid a tax, fine, fee, or other payment to the government</t>
  </si>
  <si>
    <t>pay a tax, fine, fee, or other payment to the government</t>
  </si>
  <si>
    <t>sent money to, or received money from someone</t>
  </si>
  <si>
    <t>send money to, or receive money from someone</t>
  </si>
  <si>
    <t>received money from the government</t>
  </si>
  <si>
    <t>receive money from the government</t>
  </si>
  <si>
    <t>received payment or wages from an employer</t>
  </si>
  <si>
    <t>receive wages from an employer</t>
  </si>
  <si>
    <t>paid for insurance or received payment from insurance</t>
  </si>
  <si>
    <t>pay for insurance or receive claims on insurance</t>
  </si>
  <si>
    <t>borrowed money</t>
  </si>
  <si>
    <t>borrow money</t>
  </si>
  <si>
    <t>saved money</t>
  </si>
  <si>
    <t>save money</t>
  </si>
  <si>
    <t>invested money</t>
  </si>
  <si>
    <t>invest money</t>
  </si>
  <si>
    <t>paid for goods or services at a store, shop, restaurant or other place of business</t>
  </si>
  <si>
    <t>pay for goods or services at a store, shop, restaurant or other place of business</t>
  </si>
  <si>
    <t>Code</t>
  </si>
  <si>
    <t>Description</t>
  </si>
  <si>
    <t>No formal education</t>
  </si>
  <si>
    <t>Primary education</t>
  </si>
  <si>
    <t>Junior high school</t>
  </si>
  <si>
    <t>Senior high school</t>
  </si>
  <si>
    <t>Secondary vocational training/certificate</t>
  </si>
  <si>
    <t>Diploma</t>
  </si>
  <si>
    <t>College/universisty</t>
  </si>
  <si>
    <t>Post-graduate university</t>
  </si>
  <si>
    <t>Informal (Sekolah agama)</t>
  </si>
  <si>
    <t>Working full-time for a regular salary</t>
  </si>
  <si>
    <t>Working part-time for a regular salary</t>
  </si>
  <si>
    <t>Working occasionally, irregular pay (whenever the work is available)</t>
  </si>
  <si>
    <t>Working per season (e.g., only during the harvest season)</t>
  </si>
  <si>
    <t>Self-employed, working for yourself</t>
  </si>
  <si>
    <t>Not working but looking for a job</t>
  </si>
  <si>
    <t>Housewife or stay-at-home husband doing household chores</t>
  </si>
  <si>
    <t>Full-time student</t>
  </si>
  <si>
    <t>Not working because of retirement</t>
  </si>
  <si>
    <t>Not working because of sickness, disability, etc.</t>
  </si>
  <si>
    <t>Agriculture and fisheries owner</t>
  </si>
  <si>
    <t>Agriculture and fisheries worker</t>
  </si>
  <si>
    <t>Government employee, official, legislative, manager</t>
  </si>
  <si>
    <t>Professional i.e., doctor, teacher, nurse</t>
  </si>
  <si>
    <t>Clerk (admin)</t>
  </si>
  <si>
    <t>Technician and assistant to professionals</t>
  </si>
  <si>
    <t>Service and trading</t>
  </si>
  <si>
    <t>Manufacturing and craft</t>
  </si>
  <si>
    <t>Operator and machine assembly</t>
  </si>
  <si>
    <t>Laborer, cleaner</t>
  </si>
  <si>
    <t>Driver, including public transport (angkot, ojek, metromini, bus, online taxi driver, etc.)</t>
  </si>
  <si>
    <t>Military and police</t>
  </si>
  <si>
    <t>originial</t>
  </si>
  <si>
    <t>with BI</t>
  </si>
  <si>
    <t>original</t>
  </si>
  <si>
    <t>with O</t>
  </si>
  <si>
    <t>E1A</t>
  </si>
  <si>
    <t>FS1.1</t>
  </si>
  <si>
    <t>E1B</t>
  </si>
  <si>
    <t>FS1.2</t>
  </si>
  <si>
    <t>E1C</t>
  </si>
  <si>
    <t>FS1.3</t>
  </si>
  <si>
    <t>E1D</t>
  </si>
  <si>
    <t>FS1.4</t>
  </si>
  <si>
    <t>E1V</t>
  </si>
  <si>
    <t>FS1.5</t>
  </si>
  <si>
    <t>E1V.other</t>
  </si>
  <si>
    <t>FS1.6</t>
  </si>
  <si>
    <t>E2A.A</t>
  </si>
  <si>
    <t>FS2</t>
  </si>
  <si>
    <t>E2A.B</t>
  </si>
  <si>
    <t>FS3</t>
  </si>
  <si>
    <t>E2A.C</t>
  </si>
  <si>
    <t>FS4</t>
  </si>
  <si>
    <t>E2A.D</t>
  </si>
  <si>
    <t>FS4A</t>
  </si>
  <si>
    <t>E2A.E</t>
  </si>
  <si>
    <t>FS5</t>
  </si>
  <si>
    <t>E2A.F</t>
  </si>
  <si>
    <t>FS6</t>
  </si>
  <si>
    <t>E2A.G</t>
  </si>
  <si>
    <t>FS7</t>
  </si>
  <si>
    <t>E2A.H</t>
  </si>
  <si>
    <t>FS8</t>
  </si>
  <si>
    <t>E2A.I</t>
  </si>
  <si>
    <t>E2A.J</t>
  </si>
  <si>
    <t>FM1</t>
  </si>
  <si>
    <t>E2A.K</t>
  </si>
  <si>
    <t>FM2</t>
  </si>
  <si>
    <t>E2A.L</t>
  </si>
  <si>
    <t>FM2.other</t>
  </si>
  <si>
    <t>E2A.V</t>
  </si>
  <si>
    <t>FM3</t>
  </si>
  <si>
    <t>E2AV.other</t>
  </si>
  <si>
    <t>E2B.A</t>
  </si>
  <si>
    <t>FM4</t>
  </si>
  <si>
    <t>E2B.B</t>
  </si>
  <si>
    <t>FM5</t>
  </si>
  <si>
    <t>E2B.C</t>
  </si>
  <si>
    <t>FM6</t>
  </si>
  <si>
    <t>E2B.D</t>
  </si>
  <si>
    <t>E2B.E</t>
  </si>
  <si>
    <t>FM7</t>
  </si>
  <si>
    <t>E2B.F</t>
  </si>
  <si>
    <t>FM8</t>
  </si>
  <si>
    <t>E2B.G</t>
  </si>
  <si>
    <t>FM9</t>
  </si>
  <si>
    <t>E2B.H</t>
  </si>
  <si>
    <t>E2B.I</t>
  </si>
  <si>
    <t>FM10</t>
  </si>
  <si>
    <t>E2B.J</t>
  </si>
  <si>
    <t>FM11.1</t>
  </si>
  <si>
    <t>E2B.K</t>
  </si>
  <si>
    <t>FM11.2</t>
  </si>
  <si>
    <t>E2B.L</t>
  </si>
  <si>
    <t>FM11.3</t>
  </si>
  <si>
    <t>E2B.V</t>
  </si>
  <si>
    <t>FM11.4</t>
  </si>
  <si>
    <t>E2B.V.other</t>
  </si>
  <si>
    <t>FM11.5</t>
  </si>
  <si>
    <t>E2C.A</t>
  </si>
  <si>
    <t>FM11.6</t>
  </si>
  <si>
    <t>E2C.B</t>
  </si>
  <si>
    <t>FM11.7</t>
  </si>
  <si>
    <t>E2C.C</t>
  </si>
  <si>
    <t>FM11.8</t>
  </si>
  <si>
    <t>E2C.D</t>
  </si>
  <si>
    <t>FM11.9</t>
  </si>
  <si>
    <t>E2C.E</t>
  </si>
  <si>
    <t>FM11.10</t>
  </si>
  <si>
    <t>E2C.F</t>
  </si>
  <si>
    <t>FM11.11</t>
  </si>
  <si>
    <t>E2C.G</t>
  </si>
  <si>
    <t>FM11.12</t>
  </si>
  <si>
    <t>E2C.H</t>
  </si>
  <si>
    <t>E2C.I</t>
  </si>
  <si>
    <t>FM12</t>
  </si>
  <si>
    <t>E2C.J</t>
  </si>
  <si>
    <t>FM13</t>
  </si>
  <si>
    <t>E2C.K</t>
  </si>
  <si>
    <t>FM14</t>
  </si>
  <si>
    <t>E2C.L</t>
  </si>
  <si>
    <t>FM15</t>
  </si>
  <si>
    <t>E2C.V</t>
  </si>
  <si>
    <t>E2C.V.other</t>
  </si>
  <si>
    <t>E2D.A</t>
  </si>
  <si>
    <t>E2D.B</t>
  </si>
  <si>
    <t>E2D.C</t>
  </si>
  <si>
    <t>E2D.D</t>
  </si>
  <si>
    <t>E2D.E</t>
  </si>
  <si>
    <t>E2D.F</t>
  </si>
  <si>
    <t>E2D.G</t>
  </si>
  <si>
    <t>E2D.H</t>
  </si>
  <si>
    <t>E2D.I</t>
  </si>
  <si>
    <t>E2D.J</t>
  </si>
  <si>
    <t>E2D.K</t>
  </si>
  <si>
    <t>E2D.L</t>
  </si>
  <si>
    <t>E2D.V</t>
  </si>
  <si>
    <t>E2D.V.other</t>
  </si>
  <si>
    <t>E2V.A</t>
  </si>
  <si>
    <t>E2V.B</t>
  </si>
  <si>
    <t>E2V.C</t>
  </si>
  <si>
    <t>E2V.D</t>
  </si>
  <si>
    <t>E2V.V</t>
  </si>
  <si>
    <t>E2V.F</t>
  </si>
  <si>
    <t>E2V.G</t>
  </si>
  <si>
    <t>E2V.H</t>
  </si>
  <si>
    <t>E2V.I</t>
  </si>
  <si>
    <t>E2V.J</t>
  </si>
  <si>
    <t>E2V.K</t>
  </si>
  <si>
    <t>E2V.L</t>
  </si>
  <si>
    <t>E2V.V.other</t>
  </si>
  <si>
    <t>E3A</t>
  </si>
  <si>
    <t>E3B</t>
  </si>
  <si>
    <t>E3C</t>
  </si>
  <si>
    <t>E3D</t>
  </si>
  <si>
    <t>E3V</t>
  </si>
  <si>
    <t>E4</t>
  </si>
  <si>
    <t>E5</t>
  </si>
  <si>
    <t>E6</t>
  </si>
  <si>
    <t>E7B</t>
  </si>
  <si>
    <t>E7C</t>
  </si>
  <si>
    <t>E7D</t>
  </si>
  <si>
    <t>E7E</t>
  </si>
  <si>
    <t>E7F</t>
  </si>
  <si>
    <t>E7V</t>
  </si>
  <si>
    <t>E7V.other</t>
  </si>
  <si>
    <t>E8</t>
  </si>
  <si>
    <t>E9A</t>
  </si>
  <si>
    <t>E9B</t>
  </si>
  <si>
    <t>E9C</t>
  </si>
  <si>
    <t>E9V</t>
  </si>
  <si>
    <t>E9V.other</t>
  </si>
  <si>
    <t>E10A.1</t>
  </si>
  <si>
    <t>E10A.2</t>
  </si>
  <si>
    <t>E10B.1</t>
  </si>
  <si>
    <t>E10B.2</t>
  </si>
  <si>
    <t>E10C.1</t>
  </si>
  <si>
    <t>E10C.2</t>
  </si>
  <si>
    <t>E10D.1</t>
  </si>
  <si>
    <t>E10D.2</t>
  </si>
  <si>
    <t>E11A</t>
  </si>
  <si>
    <t>E11B</t>
  </si>
  <si>
    <t>E11C</t>
  </si>
  <si>
    <t>E11V</t>
  </si>
  <si>
    <t>E11V.other</t>
  </si>
  <si>
    <t>E12A.1</t>
  </si>
  <si>
    <t>E12A.2</t>
  </si>
  <si>
    <t>E12B.1</t>
  </si>
  <si>
    <t>E12B.2</t>
  </si>
  <si>
    <t>E12C.1</t>
  </si>
  <si>
    <t>E12C.2</t>
  </si>
  <si>
    <t>E12D.1</t>
  </si>
  <si>
    <t>E12D.2</t>
  </si>
  <si>
    <t>E13</t>
  </si>
  <si>
    <t>E13.other</t>
  </si>
  <si>
    <t>E14</t>
  </si>
  <si>
    <t>E15A</t>
  </si>
  <si>
    <t>E15B</t>
  </si>
  <si>
    <t>E15C</t>
  </si>
  <si>
    <t>E15D</t>
  </si>
  <si>
    <t>E15E</t>
  </si>
  <si>
    <t>E15F</t>
  </si>
  <si>
    <t>E15V</t>
  </si>
  <si>
    <t>E15V.other</t>
  </si>
  <si>
    <t>E16A</t>
  </si>
  <si>
    <t>E16B</t>
  </si>
  <si>
    <t>E16C</t>
  </si>
  <si>
    <t>E17</t>
  </si>
  <si>
    <t>E17.other</t>
  </si>
  <si>
    <t>E18A</t>
  </si>
  <si>
    <t>E18B</t>
  </si>
  <si>
    <t>E18C</t>
  </si>
  <si>
    <t>E19A</t>
  </si>
  <si>
    <t>E19B</t>
  </si>
  <si>
    <t>E20</t>
  </si>
  <si>
    <t>E21</t>
  </si>
  <si>
    <t>E22</t>
  </si>
  <si>
    <t>E23</t>
  </si>
  <si>
    <t>E23.other</t>
  </si>
  <si>
    <t>E24A</t>
  </si>
  <si>
    <t>E24B</t>
  </si>
  <si>
    <t>E24C</t>
  </si>
  <si>
    <t>E25A</t>
  </si>
  <si>
    <t>E25B</t>
  </si>
  <si>
    <t>E25C</t>
  </si>
  <si>
    <t>E26A</t>
  </si>
  <si>
    <t>E26B</t>
  </si>
  <si>
    <t>E26C</t>
  </si>
  <si>
    <t>E27A</t>
  </si>
  <si>
    <t>E27B</t>
  </si>
  <si>
    <t>E27C</t>
  </si>
  <si>
    <t>E28A.A</t>
  </si>
  <si>
    <t>E28A.B</t>
  </si>
  <si>
    <t>E28A.C</t>
  </si>
  <si>
    <t>E28A.D</t>
  </si>
  <si>
    <t>E28A.V</t>
  </si>
  <si>
    <t>E28A.V.other</t>
  </si>
  <si>
    <t>E28B.A</t>
  </si>
  <si>
    <t>E28B.B</t>
  </si>
  <si>
    <t>E28B.C</t>
  </si>
  <si>
    <t>E28B.D</t>
  </si>
  <si>
    <t>E28B.V</t>
  </si>
  <si>
    <t>E28B.V.other</t>
  </si>
  <si>
    <t>E28C.A</t>
  </si>
  <si>
    <t>E28C.B</t>
  </si>
  <si>
    <t>E28C.C</t>
  </si>
  <si>
    <t>E28C.D</t>
  </si>
  <si>
    <t>E28C.V</t>
  </si>
  <si>
    <t>E28C.V.other</t>
  </si>
  <si>
    <t>E29A</t>
  </si>
  <si>
    <t>E29B</t>
  </si>
  <si>
    <t>E29C</t>
  </si>
  <si>
    <t>E29D</t>
  </si>
  <si>
    <t>E29V</t>
  </si>
  <si>
    <t>E29V.other</t>
  </si>
  <si>
    <t>E30A</t>
  </si>
  <si>
    <t>E30B</t>
  </si>
  <si>
    <t>E30C</t>
  </si>
  <si>
    <t>E30D</t>
  </si>
  <si>
    <t>E30V</t>
  </si>
  <si>
    <t>E31A</t>
  </si>
  <si>
    <t>E31B</t>
  </si>
  <si>
    <t>E31C</t>
  </si>
  <si>
    <t>E31D</t>
  </si>
  <si>
    <t>E31E</t>
  </si>
  <si>
    <t>E31V</t>
  </si>
  <si>
    <t>E31V.other</t>
  </si>
  <si>
    <t>E32A</t>
  </si>
  <si>
    <t>E32B</t>
  </si>
  <si>
    <t>E32C</t>
  </si>
  <si>
    <t>E32D</t>
  </si>
  <si>
    <t>E32E</t>
  </si>
  <si>
    <t>E32V</t>
  </si>
  <si>
    <t>E33A</t>
  </si>
  <si>
    <t>E33B</t>
  </si>
  <si>
    <t>E33C</t>
  </si>
  <si>
    <t>E33D</t>
  </si>
  <si>
    <t>E33E</t>
  </si>
  <si>
    <t>E33V</t>
  </si>
  <si>
    <t>E33V.other</t>
  </si>
  <si>
    <t>E34A</t>
  </si>
  <si>
    <t>E34B</t>
  </si>
  <si>
    <t>E34C</t>
  </si>
  <si>
    <t>E34C.other</t>
  </si>
  <si>
    <t>E34W</t>
  </si>
  <si>
    <t>E35</t>
  </si>
  <si>
    <t>E36</t>
  </si>
  <si>
    <t>E36.other</t>
  </si>
  <si>
    <t>E37</t>
  </si>
  <si>
    <t>E37.other</t>
  </si>
  <si>
    <t>E38</t>
  </si>
  <si>
    <t>E38.other</t>
  </si>
  <si>
    <t>E39</t>
  </si>
  <si>
    <t>E40A</t>
  </si>
  <si>
    <t>E40B</t>
  </si>
  <si>
    <t>E40C</t>
  </si>
  <si>
    <t>E40V</t>
  </si>
  <si>
    <t>E40V.other</t>
  </si>
  <si>
    <t>E41A</t>
  </si>
  <si>
    <t>E41B</t>
  </si>
  <si>
    <t>E41C</t>
  </si>
  <si>
    <t>E41V</t>
  </si>
  <si>
    <t>E42A.A</t>
  </si>
  <si>
    <t>E42A.B</t>
  </si>
  <si>
    <t>E42A.C</t>
  </si>
  <si>
    <t>E42A.D</t>
  </si>
  <si>
    <t>E42A.V</t>
  </si>
  <si>
    <t>E42A.V.other</t>
  </si>
  <si>
    <t>E42B.A</t>
  </si>
  <si>
    <t>E42B.B</t>
  </si>
  <si>
    <t>E42B.C</t>
  </si>
  <si>
    <t>E42B.D</t>
  </si>
  <si>
    <t>E42B.V</t>
  </si>
  <si>
    <t>E42B.V.other</t>
  </si>
  <si>
    <t>E42C.A</t>
  </si>
  <si>
    <t>E42C.B</t>
  </si>
  <si>
    <t>E42C.C</t>
  </si>
  <si>
    <t>E42C.D</t>
  </si>
  <si>
    <t>E42C.V</t>
  </si>
  <si>
    <t>E42C.V.other</t>
  </si>
  <si>
    <t>E42V.A</t>
  </si>
  <si>
    <t>E42V.B</t>
  </si>
  <si>
    <t>E42V.C</t>
  </si>
  <si>
    <t>E42V.D</t>
  </si>
  <si>
    <t>E42V.V</t>
  </si>
  <si>
    <t>E42V.V.other</t>
  </si>
  <si>
    <t>E43A</t>
  </si>
  <si>
    <t>E43B</t>
  </si>
  <si>
    <t>E43C</t>
  </si>
  <si>
    <t>E43D</t>
  </si>
  <si>
    <t>E43E</t>
  </si>
  <si>
    <t>E43F</t>
  </si>
  <si>
    <t>E43G</t>
  </si>
  <si>
    <t>E43H</t>
  </si>
  <si>
    <t>E43I</t>
  </si>
  <si>
    <t>E43J</t>
  </si>
  <si>
    <t>E43K</t>
  </si>
  <si>
    <t>E44A</t>
  </si>
  <si>
    <t>E44B</t>
  </si>
  <si>
    <t>E44V</t>
  </si>
  <si>
    <t>E44V.other</t>
  </si>
  <si>
    <t>E44W</t>
  </si>
  <si>
    <t>E45A</t>
  </si>
  <si>
    <t>E45B</t>
  </si>
  <si>
    <t>E45C</t>
  </si>
  <si>
    <t>E45D</t>
  </si>
  <si>
    <t>E45E</t>
  </si>
  <si>
    <t>E45F</t>
  </si>
  <si>
    <t>E45G</t>
  </si>
  <si>
    <t>E45H</t>
  </si>
  <si>
    <t>E45I</t>
  </si>
  <si>
    <t>E45J</t>
  </si>
  <si>
    <t>E46A</t>
  </si>
  <si>
    <t>E46B</t>
  </si>
  <si>
    <t>E46C</t>
  </si>
  <si>
    <t>E46D</t>
  </si>
  <si>
    <t>E46E</t>
  </si>
  <si>
    <t>E46F</t>
  </si>
  <si>
    <t>E46G</t>
  </si>
  <si>
    <t>E46H</t>
  </si>
  <si>
    <t>E46I</t>
  </si>
  <si>
    <t>E46J</t>
  </si>
  <si>
    <t>E47A</t>
  </si>
  <si>
    <t>E47B</t>
  </si>
  <si>
    <t>E47C</t>
  </si>
  <si>
    <t>E47D</t>
  </si>
  <si>
    <t>E47E</t>
  </si>
  <si>
    <t>E47F</t>
  </si>
  <si>
    <t>E47G</t>
  </si>
  <si>
    <t>E47H</t>
  </si>
  <si>
    <t>E47I</t>
  </si>
  <si>
    <t>E47J</t>
  </si>
  <si>
    <t>E48A.A</t>
  </si>
  <si>
    <t>E48A.B</t>
  </si>
  <si>
    <t>E48A.C</t>
  </si>
  <si>
    <t>E48A.D</t>
  </si>
  <si>
    <t>E48A.E</t>
  </si>
  <si>
    <t>E48A.F</t>
  </si>
  <si>
    <t>E48A.G</t>
  </si>
  <si>
    <t>E48A.H</t>
  </si>
  <si>
    <t>E48A.V</t>
  </si>
  <si>
    <t>E48A.V.other</t>
  </si>
  <si>
    <t>E48B.1</t>
  </si>
  <si>
    <t>E48B.2</t>
  </si>
  <si>
    <t>E48B.3</t>
  </si>
  <si>
    <t>E49A.A</t>
  </si>
  <si>
    <t>E49A.B</t>
  </si>
  <si>
    <t>E49A.C</t>
  </si>
  <si>
    <t>E49A.D</t>
  </si>
  <si>
    <t>E49A.E</t>
  </si>
  <si>
    <t>E49A.F</t>
  </si>
  <si>
    <t>E49A.G</t>
  </si>
  <si>
    <t>E49A.H</t>
  </si>
  <si>
    <t>E49A.I</t>
  </si>
  <si>
    <t>E49A.V</t>
  </si>
  <si>
    <t>E49A.V.other</t>
  </si>
  <si>
    <t>E49B.1</t>
  </si>
  <si>
    <t>E49B.2</t>
  </si>
  <si>
    <t>E49B.3</t>
  </si>
  <si>
    <t>E50</t>
  </si>
  <si>
    <t>E51</t>
  </si>
  <si>
    <t>E52</t>
  </si>
  <si>
    <t>E53A</t>
  </si>
  <si>
    <t>E53B</t>
  </si>
  <si>
    <t>E53C</t>
  </si>
  <si>
    <t>E53D</t>
  </si>
  <si>
    <t>E53E</t>
  </si>
  <si>
    <t>E53F</t>
  </si>
  <si>
    <t>E53V</t>
  </si>
  <si>
    <t>E53V.other</t>
  </si>
  <si>
    <t>E54A</t>
  </si>
  <si>
    <t>E54B</t>
  </si>
  <si>
    <t>E54C</t>
  </si>
  <si>
    <t>E54D</t>
  </si>
  <si>
    <t>E54V</t>
  </si>
  <si>
    <t>E54V.other</t>
  </si>
  <si>
    <t>E55</t>
  </si>
  <si>
    <t>E58</t>
  </si>
  <si>
    <t>E59</t>
  </si>
  <si>
    <t>E59.other</t>
  </si>
  <si>
    <t>E60</t>
  </si>
  <si>
    <t>E61A</t>
  </si>
  <si>
    <t>E61B</t>
  </si>
  <si>
    <t>E61C</t>
  </si>
  <si>
    <t>E61D</t>
  </si>
  <si>
    <t>E61E</t>
  </si>
  <si>
    <t>E61E.other</t>
  </si>
  <si>
    <t>E62</t>
  </si>
  <si>
    <t>E63</t>
  </si>
  <si>
    <t>E64</t>
  </si>
  <si>
    <t>E65</t>
  </si>
  <si>
    <t>E65.other</t>
  </si>
  <si>
    <t>E66.1</t>
  </si>
  <si>
    <t>E66.2</t>
  </si>
  <si>
    <t>E66.3</t>
  </si>
  <si>
    <t>E66.4</t>
  </si>
  <si>
    <t>E67</t>
  </si>
  <si>
    <t>E68A</t>
  </si>
  <si>
    <t>E68B</t>
  </si>
  <si>
    <t>E68C</t>
  </si>
  <si>
    <t>E68D</t>
  </si>
  <si>
    <t>E68E</t>
  </si>
  <si>
    <t>E68F</t>
  </si>
  <si>
    <t>E68V</t>
  </si>
  <si>
    <t>E68V.other</t>
  </si>
  <si>
    <t>E69</t>
  </si>
  <si>
    <t>card based electronic money (such as: Flazz, BRIzzi, E-money, E-toll, Indomaret card, Alfamart card, etc.)</t>
  </si>
  <si>
    <t>server based electronic money (such as: e-cash, Go-Pay, OVO, Tap Cash, T-cash, XL Tunai, Dompetku, Rekening Ponsel, etc.)</t>
  </si>
  <si>
    <t>BI.E25D</t>
  </si>
  <si>
    <t>IF BI_E24D=1</t>
  </si>
  <si>
    <t>BI.E26D</t>
  </si>
  <si>
    <t>BI.E27D</t>
  </si>
  <si>
    <t>BI.E28D.A</t>
  </si>
  <si>
    <t>BI.E28D.B</t>
  </si>
  <si>
    <t>BI.E28D.C</t>
  </si>
  <si>
    <t>BI.E28D.D</t>
  </si>
  <si>
    <t>BI.E28D.V</t>
  </si>
  <si>
    <t>BI.E28D.V.96</t>
  </si>
  <si>
    <t>IF BI_E28D_V=1</t>
  </si>
  <si>
    <t>IF OJK1_1=1 OR OJK1_2 = 1 OR OJK1_3=1 OR OJK1_4=1 OR OJK1_5=1 OR OJK1_6=1 OR OJK1_7=1 OR OJK1_8=1 OR OJK1_9=1 OR OJK1_10=1 OR OJK1_11=1 OR OJK1_12=1 OR OJK1_13=1 OR OJK1_14=1</t>
  </si>
  <si>
    <t>1=Only BPR
2=BPR and other bank</t>
  </si>
  <si>
    <t>IF OJK12_1=1 OR OJK12_2=1 OR OJK12_3=1</t>
  </si>
  <si>
    <t>GF3A</t>
  </si>
  <si>
    <t>GF3B</t>
  </si>
  <si>
    <t>1=Bank branch
2=Laku Pandai Agent
-2=DK [DO NOT READ]</t>
  </si>
  <si>
    <t>IF OJK11_1=1 OR OJK11_2=1 OR OJK11_3=1</t>
  </si>
  <si>
    <t>IF OJK11_1=2 AND (OJK11_2=1 OR OJK11_3=1)</t>
  </si>
  <si>
    <t>BPR1</t>
  </si>
  <si>
    <t>BPR2</t>
  </si>
  <si>
    <t>BPR3</t>
  </si>
  <si>
    <t>IF FNX=1 &amp; OJK1_1=1</t>
  </si>
  <si>
    <t>IF FNX=1 &amp; OJK1_3=1</t>
  </si>
  <si>
    <t>IF FNX=1 &amp; OJK1_2=1</t>
  </si>
  <si>
    <t>IF OJK1_5=1 &amp; FNX=1</t>
  </si>
  <si>
    <t>IF OJK1_6=1 &amp; FNX=1</t>
  </si>
  <si>
    <t>IF OJK1_7=1 &amp; FNX=1</t>
  </si>
  <si>
    <t>IF OJK1_8=1 &amp; FNX=1</t>
  </si>
  <si>
    <t>IF OJK1_1=1 &amp; BI.E1A=1</t>
  </si>
  <si>
    <t>IF OJK1_2=1 &amp; BI.E1C=1</t>
  </si>
  <si>
    <t>IF OJK1_3=1 &amp; BI.E1B=1</t>
  </si>
  <si>
    <t>IF OJK1_4=1 &amp; BI.E1A=1 OR BI.E1B=1 OR BI.E1C=1</t>
  </si>
  <si>
    <t>IF OJK1_9=1 &amp; FNX=1</t>
  </si>
  <si>
    <t>IF OJK1_10=1 &amp; FNX=1</t>
  </si>
  <si>
    <t>IF OJK1_12=1 &amp; FNX=1</t>
  </si>
  <si>
    <t>IF OJK1_13=1 &amp; FNX=1</t>
  </si>
  <si>
    <r>
      <t>Section 7. Bank Products and Services
Now I would like to ask you some questions about financial products and services that some people use, both sharia and conventional,</t>
    </r>
    <r>
      <rPr>
        <b/>
        <sz val="10"/>
        <color theme="7"/>
        <rFont val="Arial"/>
        <family val="2"/>
      </rPr>
      <t xml:space="preserve"> with or without their own account.</t>
    </r>
    <r>
      <rPr>
        <b/>
        <sz val="10"/>
        <color theme="1"/>
        <rFont val="Arial"/>
        <family val="2"/>
      </rPr>
      <t xml:space="preserve"> </t>
    </r>
  </si>
  <si>
    <t>Section 8: Basic savings account
Now I would like to ask you about a different a special savings product called a basic savings account (BSA). These accounts have no periodic administration fees and low minimum balance requirements.</t>
  </si>
  <si>
    <t>Section 9: Borrowing
[READ OUT] Now I would like to ask you a few questions about borrowing. Borrowing is an important way for people to meet their financial goals and almost everyone has borrowed money at one time or another. Different people borrow from various sources such as friends, family, banks or other financial institutions. Furthermore, people often purchase goods and services on credit and defer the payment to a later time. Please think about all these ways of borrowing when you answer the following questions.</t>
  </si>
  <si>
    <t>Section 10: Financial Products
Now I will ask about financial products that you might have.</t>
  </si>
  <si>
    <t>Section 11: Other financial products and services
Now I will ask about other financial products and services</t>
  </si>
  <si>
    <t>COP1</t>
  </si>
  <si>
    <t>COP2</t>
  </si>
  <si>
    <t>MFI1</t>
  </si>
  <si>
    <t>BI.E35</t>
  </si>
  <si>
    <t>Koperasi (Credit Union, KSP)</t>
  </si>
  <si>
    <t>Multifinance atau leasing (contoh: Adira, FIF, BAF, AAC, etc.)</t>
  </si>
  <si>
    <t>Agen atau kantor perusahaan Asuransi</t>
  </si>
  <si>
    <t>Broker atau pialang Saham</t>
  </si>
  <si>
    <t>Agen Penukaran uang atau Money Changer</t>
  </si>
  <si>
    <t>Agen transfer uang (contoh: Western Union, Money Gram)</t>
  </si>
  <si>
    <t>IFI15.11A</t>
  </si>
  <si>
    <t>IFI15.11B</t>
  </si>
  <si>
    <t>IFI15.12A</t>
  </si>
  <si>
    <t>IFI15.12B</t>
  </si>
  <si>
    <t>IFI15.13A</t>
  </si>
  <si>
    <t>IFI15.13B</t>
  </si>
  <si>
    <t>IFI15.14A</t>
  </si>
  <si>
    <t>IFI15.14B</t>
  </si>
  <si>
    <t>IF IFI15_10A&gt;0</t>
  </si>
  <si>
    <t>IF IFI15_11A&gt;0</t>
  </si>
  <si>
    <t>IF IFI15_12A&gt;0</t>
  </si>
  <si>
    <t>IF IFI15_13A&gt;0</t>
  </si>
  <si>
    <t>1=Cash 
2=Not cash (card, digital, electronic)
-2=DK [DO NOT READ]</t>
  </si>
  <si>
    <t>BI.E43.1</t>
  </si>
  <si>
    <t>BI.E43.2</t>
  </si>
  <si>
    <t>BI.E43.3</t>
  </si>
  <si>
    <t>BI.E43.4</t>
  </si>
  <si>
    <t>BI.E43.5</t>
  </si>
  <si>
    <t>BI.E43.6</t>
  </si>
  <si>
    <t>BI.E43.7</t>
  </si>
  <si>
    <t>BI.E43.8</t>
  </si>
  <si>
    <t>BI.E43.9</t>
  </si>
  <si>
    <t>BI.E43.10</t>
  </si>
  <si>
    <t>BI.E43.11</t>
  </si>
  <si>
    <t>BI.E43.12</t>
  </si>
  <si>
    <t>BI.E43.13</t>
  </si>
  <si>
    <t>BI.E43.14</t>
  </si>
  <si>
    <t>BI.E24D</t>
  </si>
  <si>
    <t>IF BI_E25A=1</t>
  </si>
  <si>
    <t>IF BI_E25B=1</t>
  </si>
  <si>
    <t>Cash Deposit</t>
  </si>
  <si>
    <t xml:space="preserve">Receive Social/Government aid </t>
  </si>
  <si>
    <t>BI.E28A.E</t>
  </si>
  <si>
    <t>BI.E28A.F</t>
  </si>
  <si>
    <t>Section 12: GENDER
[READ OUT] My next questions are about spending decisions in your household.</t>
  </si>
  <si>
    <t>Section 13: SIM CARDS AND MOBILE NETWORKS
Now I have some questions about mobile phones</t>
  </si>
  <si>
    <t>Section 14: BASIC AND ADVANCED PHONE USE AND PROFICIENCY</t>
  </si>
  <si>
    <t>Section 15: PROXIMITY TO FINANCIAL POINTS OF SERVICE
[READ OUT] Now I have a few questions about the location of different financial service providers.</t>
  </si>
  <si>
    <t>SECTION 16. LITERACY</t>
  </si>
  <si>
    <t>SECTION 17:  RESPONDENT INFORMATION</t>
  </si>
  <si>
    <t>BI.E34V.96</t>
  </si>
  <si>
    <t>BI.E34V</t>
  </si>
  <si>
    <t>IF BI_E34V=1</t>
  </si>
  <si>
    <t>AA3. Municipality/Regency</t>
  </si>
  <si>
    <t>AA4. Kelurahan/Desa (SSU)</t>
  </si>
  <si>
    <t>AA15</t>
  </si>
  <si>
    <t>Please provide  Municipality/Regency code</t>
  </si>
  <si>
    <t>Please provide Kelurahan/Desa (SSU) code</t>
  </si>
  <si>
    <t>AA14. Household Longitude</t>
  </si>
  <si>
    <t>Section 6: Findex and key indicators
Now, I would like to ask you about accounts with formal financial institutions, both sharia and conventional. Formal financial institutions include umum/conventional bank (conventional and syariah), BPR/rural bank, koperasi, kantor pos, pawnshop, and penyelenggara uang elektronik terdaftar (T-cash terdaftar, XL Tunai, Gopay, OVO, dll).</t>
  </si>
  <si>
    <t>BI.E19</t>
  </si>
  <si>
    <t>1=Installment
2=All at once</t>
  </si>
  <si>
    <t>Vehicle financing/leasing</t>
  </si>
  <si>
    <t>Agricultural machinery and equipment financing</t>
  </si>
  <si>
    <t>Electronics and households appliance financing</t>
  </si>
  <si>
    <t xml:space="preserve">Another lease (finance lease) </t>
  </si>
  <si>
    <t xml:space="preserve">Another product or service that I didn't mention </t>
  </si>
  <si>
    <t>LKM1</t>
  </si>
  <si>
    <t>IF OJK13_1=1 OR OJK13_2=1 OR OJK13_3=1</t>
  </si>
  <si>
    <t>IF BPR1=1</t>
  </si>
  <si>
    <t>IF FNX=1 and OJK1_14=1</t>
  </si>
  <si>
    <t>N/A
-2=DK [DO NOT READ]
-3=Don't have/None</t>
  </si>
  <si>
    <t>ONL1</t>
  </si>
  <si>
    <t>ONL2</t>
  </si>
  <si>
    <t>IF ONL1=1 AND (BI_E14=1 OR BI_E16A=1)</t>
  </si>
  <si>
    <t>Other bank account that I didn’t mention</t>
  </si>
  <si>
    <t>IF BI_E1A=2 OR OJK1_1=2</t>
  </si>
  <si>
    <t>IF BI_E1B=2 OR OJK1_3=2</t>
  </si>
  <si>
    <t>IF BI_E1C=2 OR OJK1_2=2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</si>
</sst>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1"/>
      <color theme="1"/>
      <name val="Calibri"/>
      <family val="2"/>
      <scheme val="minor"/>
    </font>
    <font>
      <b/>
      <sz val="11"/>
      <color theme="1"/>
      <name val="Arial"/>
      <family val="2"/>
    </font>
    <font>
      <sz val="10"/>
      <color theme="1"/>
      <name val="Arial"/>
      <family val="2"/>
    </font>
    <font>
      <sz val="11"/>
      <color theme="1"/>
      <name val="Arial"/>
      <family val="2"/>
    </font>
    <font>
      <b/>
      <sz val="10"/>
      <color theme="1"/>
      <name val="Arial"/>
      <family val="2"/>
    </font>
    <font>
      <sz val="10"/>
      <color theme="1"/>
      <name val="Calibri"/>
      <family val="2"/>
      <scheme val="minor"/>
    </font>
    <font>
      <sz val="10"/>
      <color rgb="FF000000"/>
      <name val="Arial"/>
      <family val="2"/>
    </font>
    <font>
      <b/>
      <sz val="10"/>
      <color rgb="FF000000"/>
      <name val="Arial"/>
      <family val="2"/>
    </font>
    <font>
      <b/>
      <sz val="10"/>
      <name val="Arial"/>
      <family val="2"/>
    </font>
    <font>
      <sz val="11"/>
      <color rgb="FFFF0000"/>
      <name val="Arial"/>
      <family val="2"/>
    </font>
    <font>
      <u/>
      <sz val="11"/>
      <color theme="10"/>
      <name val="Calibri"/>
      <family val="2"/>
      <scheme val="minor"/>
    </font>
    <font>
      <sz val="10"/>
      <name val="Arial"/>
      <family val="2"/>
    </font>
    <font>
      <sz val="11"/>
      <name val="Calibri"/>
      <family val="2"/>
      <scheme val="minor"/>
    </font>
    <font>
      <sz val="11"/>
      <color rgb="FF000000"/>
      <name val="Arial"/>
      <family val="2"/>
    </font>
    <font>
      <u/>
      <sz val="10"/>
      <color theme="10"/>
      <name val="Calibri"/>
      <family val="2"/>
      <scheme val="minor"/>
    </font>
    <font>
      <b/>
      <sz val="10"/>
      <color rgb="FFFF0000"/>
      <name val="Arial"/>
      <family val="2"/>
    </font>
    <font>
      <sz val="11"/>
      <name val="Arial"/>
      <family val="2"/>
    </font>
    <font>
      <b/>
      <strike/>
      <sz val="10"/>
      <name val="Arial"/>
      <family val="2"/>
    </font>
    <font>
      <b/>
      <strike/>
      <sz val="10"/>
      <color theme="1"/>
      <name val="Arial"/>
      <family val="2"/>
    </font>
    <font>
      <b/>
      <strike/>
      <sz val="10"/>
      <color rgb="FF000000"/>
      <name val="Arial"/>
      <family val="2"/>
    </font>
    <font>
      <strike/>
      <sz val="10"/>
      <color rgb="FF000000"/>
      <name val="Arial"/>
      <family val="2"/>
    </font>
    <font>
      <strike/>
      <sz val="10"/>
      <name val="Arial"/>
      <family val="2"/>
    </font>
    <font>
      <sz val="11"/>
      <color rgb="FF000000"/>
      <name val="Calibri"/>
      <family val="2"/>
    </font>
    <font>
      <sz val="9"/>
      <color theme="1"/>
      <name val="Arial"/>
      <family val="2"/>
    </font>
    <font>
      <sz val="10"/>
      <color rgb="FF000000"/>
      <name val="Tw Cen MT"/>
      <family val="2"/>
    </font>
    <font>
      <sz val="11"/>
      <color rgb="FF000000"/>
      <name val="Calibri"/>
      <family val="2"/>
      <scheme val="minor"/>
    </font>
    <font>
      <sz val="9"/>
      <name val="Arial"/>
      <family val="2"/>
    </font>
    <font>
      <sz val="11"/>
      <color rgb="FF000000"/>
      <name val="Shonar Bangla"/>
      <family val="2"/>
    </font>
    <font>
      <sz val="8"/>
      <color indexed="8"/>
      <name val="Calibri"/>
      <family val="2"/>
    </font>
    <font>
      <b/>
      <sz val="10"/>
      <color theme="7"/>
      <name val="Arial"/>
      <family val="2"/>
    </font>
    <font>
      <sz val="9"/>
      <color indexed="81"/>
      <name val="Tahoma"/>
      <family val="2"/>
    </font>
    <font>
      <b/>
      <sz val="9"/>
      <color indexed="81"/>
      <name val="Tahoma"/>
      <family val="2"/>
    </font>
  </fonts>
  <fills count="24">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theme="4" tint="0.79998168889431442"/>
        <bgColor indexed="64"/>
      </patternFill>
    </fill>
    <fill>
      <patternFill patternType="solid">
        <fgColor rgb="FFD9E1F2"/>
        <bgColor indexed="64"/>
      </patternFill>
    </fill>
    <fill>
      <patternFill patternType="solid">
        <fgColor theme="8" tint="0.59999389629810485"/>
        <bgColor indexed="64"/>
      </patternFill>
    </fill>
    <fill>
      <patternFill patternType="solid">
        <fgColor rgb="FFFF0000"/>
        <bgColor indexed="64"/>
      </patternFill>
    </fill>
    <fill>
      <patternFill patternType="solid">
        <fgColor rgb="FFFCE4D6"/>
        <bgColor indexed="64"/>
      </patternFill>
    </fill>
    <fill>
      <patternFill patternType="solid">
        <fgColor rgb="FFFFCCCC"/>
        <bgColor indexed="64"/>
      </patternFill>
    </fill>
    <fill>
      <patternFill patternType="solid">
        <fgColor rgb="FFFFFFFF"/>
        <bgColor indexed="64"/>
      </patternFill>
    </fill>
    <fill>
      <patternFill patternType="solid">
        <fgColor rgb="FF00B0F0"/>
        <bgColor indexed="64"/>
      </patternFill>
    </fill>
    <fill>
      <patternFill patternType="solid">
        <fgColor rgb="FFCCCCFF"/>
        <bgColor indexed="64"/>
      </patternFill>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7"/>
        <bgColor indexed="64"/>
      </patternFill>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FE1EF"/>
        <bgColor indexed="64"/>
      </patternFill>
    </fill>
    <fill>
      <patternFill patternType="solid">
        <fgColor theme="9" tint="0.59999389629810485"/>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s>
  <cellStyleXfs count="2">
    <xf numFmtId="0" fontId="0" fillId="0" borderId="0"/>
    <xf numFmtId="0" fontId="11" fillId="0" borderId="0" applyNumberFormat="0" applyFill="0" applyBorder="0" applyAlignment="0" applyProtection="0"/>
  </cellStyleXfs>
  <cellXfs count="266">
    <xf numFmtId="0" fontId="0" fillId="0" borderId="0" xfId="0"/>
    <xf numFmtId="0" fontId="3" fillId="0" borderId="1" xfId="0" applyFont="1" applyBorder="1" applyAlignment="1">
      <alignment vertical="center"/>
    </xf>
    <xf numFmtId="0" fontId="4" fillId="0" borderId="1" xfId="0" applyFont="1" applyBorder="1" applyAlignment="1">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left" vertical="center"/>
    </xf>
    <xf numFmtId="0" fontId="5"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6" fillId="0" borderId="1" xfId="0" applyFont="1" applyBorder="1"/>
    <xf numFmtId="0" fontId="9" fillId="0" borderId="1" xfId="0" applyFont="1" applyBorder="1" applyAlignment="1">
      <alignment horizontal="center" vertical="center"/>
    </xf>
    <xf numFmtId="0" fontId="10" fillId="0" borderId="1" xfId="0" applyFont="1" applyBorder="1" applyAlignment="1">
      <alignment vertical="center"/>
    </xf>
    <xf numFmtId="0" fontId="3" fillId="0" borderId="1" xfId="0" applyFont="1" applyBorder="1" applyAlignment="1">
      <alignment horizontal="left" vertical="center"/>
    </xf>
    <xf numFmtId="0" fontId="4" fillId="0" borderId="1" xfId="0" applyFont="1" applyBorder="1" applyAlignment="1">
      <alignment vertical="center" wrapText="1"/>
    </xf>
    <xf numFmtId="0" fontId="8" fillId="0" borderId="1" xfId="0" applyFont="1" applyBorder="1" applyAlignment="1">
      <alignment horizontal="center" vertical="center"/>
    </xf>
    <xf numFmtId="0" fontId="5" fillId="2" borderId="1" xfId="0" applyFont="1" applyFill="1" applyBorder="1" applyAlignment="1">
      <alignment vertical="center" wrapText="1"/>
    </xf>
    <xf numFmtId="0" fontId="7" fillId="0" borderId="1" xfId="0" applyFont="1" applyBorder="1" applyAlignment="1">
      <alignment horizontal="left" vertical="center" wrapText="1"/>
    </xf>
    <xf numFmtId="0" fontId="5" fillId="5" borderId="0" xfId="0" applyFont="1" applyFill="1" applyAlignment="1">
      <alignment wrapText="1"/>
    </xf>
    <xf numFmtId="0" fontId="3" fillId="0" borderId="0" xfId="0" applyFont="1" applyAlignment="1">
      <alignment wrapText="1"/>
    </xf>
    <xf numFmtId="0" fontId="0" fillId="0" borderId="0" xfId="0" applyAlignment="1">
      <alignment wrapText="1"/>
    </xf>
    <xf numFmtId="0" fontId="3" fillId="0" borderId="0" xfId="0" applyFont="1" applyAlignment="1">
      <alignment horizontal="justify" vertical="center" wrapText="1"/>
    </xf>
    <xf numFmtId="0" fontId="1" fillId="5" borderId="0" xfId="0" applyFont="1" applyFill="1" applyAlignment="1">
      <alignment wrapText="1"/>
    </xf>
    <xf numFmtId="0" fontId="3" fillId="0"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3" fillId="0" borderId="1" xfId="0" applyFont="1" applyFill="1" applyBorder="1" applyAlignment="1">
      <alignment vertical="center" wrapText="1"/>
    </xf>
    <xf numFmtId="0" fontId="9" fillId="0" borderId="1" xfId="0" applyFont="1" applyFill="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left" vertical="center" wrapText="1"/>
    </xf>
    <xf numFmtId="0" fontId="0" fillId="6" borderId="0" xfId="0" applyFill="1"/>
    <xf numFmtId="0" fontId="0" fillId="0" borderId="0" xfId="0" applyFill="1"/>
    <xf numFmtId="0" fontId="2" fillId="0" borderId="1" xfId="0" applyFont="1" applyBorder="1" applyAlignment="1">
      <alignment horizontal="center" vertical="center"/>
    </xf>
    <xf numFmtId="0" fontId="9" fillId="4" borderId="1" xfId="0" applyFont="1" applyFill="1" applyBorder="1" applyAlignment="1">
      <alignment vertical="center" wrapText="1"/>
    </xf>
    <xf numFmtId="0" fontId="12" fillId="0" borderId="1" xfId="0" applyFont="1" applyBorder="1" applyAlignment="1">
      <alignment vertical="center" wrapText="1"/>
    </xf>
    <xf numFmtId="0" fontId="3" fillId="0" borderId="6" xfId="0" applyFont="1" applyFill="1" applyBorder="1" applyAlignment="1">
      <alignment horizontal="center" vertical="center"/>
    </xf>
    <xf numFmtId="0" fontId="3" fillId="0" borderId="1" xfId="0" applyFont="1" applyFill="1" applyBorder="1" applyAlignment="1">
      <alignment horizontal="center" vertical="center"/>
    </xf>
    <xf numFmtId="0" fontId="12" fillId="0" borderId="1" xfId="0" applyFont="1" applyFill="1" applyBorder="1" applyAlignment="1">
      <alignment vertical="center" wrapText="1"/>
    </xf>
    <xf numFmtId="0" fontId="12" fillId="0" borderId="1" xfId="0" applyFont="1" applyFill="1" applyBorder="1" applyAlignment="1">
      <alignment horizontal="center" vertical="center"/>
    </xf>
    <xf numFmtId="0" fontId="14" fillId="0" borderId="1" xfId="0" applyFont="1" applyBorder="1" applyAlignment="1">
      <alignment vertical="center" wrapText="1"/>
    </xf>
    <xf numFmtId="0" fontId="1" fillId="0" borderId="0" xfId="0" applyFont="1"/>
    <xf numFmtId="0" fontId="14" fillId="7" borderId="1" xfId="0" applyFont="1" applyFill="1" applyBorder="1" applyAlignment="1">
      <alignment vertical="top" wrapText="1"/>
    </xf>
    <xf numFmtId="0" fontId="4" fillId="7" borderId="1" xfId="0" applyFont="1" applyFill="1" applyBorder="1" applyAlignment="1">
      <alignment vertical="top" wrapText="1"/>
    </xf>
    <xf numFmtId="0" fontId="1" fillId="0" borderId="0" xfId="0" applyFont="1" applyAlignment="1">
      <alignment wrapText="1"/>
    </xf>
    <xf numFmtId="0" fontId="0" fillId="5" borderId="0" xfId="0" applyFill="1" applyAlignment="1">
      <alignment wrapText="1"/>
    </xf>
    <xf numFmtId="0" fontId="3" fillId="7" borderId="1" xfId="0" applyFont="1" applyFill="1" applyBorder="1" applyAlignment="1">
      <alignment vertical="top" wrapText="1"/>
    </xf>
    <xf numFmtId="0" fontId="3" fillId="8" borderId="1" xfId="0" applyFont="1" applyFill="1" applyBorder="1" applyAlignment="1">
      <alignment vertical="center" wrapText="1"/>
    </xf>
    <xf numFmtId="0" fontId="5" fillId="9" borderId="1" xfId="0" applyFont="1" applyFill="1" applyBorder="1" applyAlignment="1">
      <alignment horizontal="center" vertical="center"/>
    </xf>
    <xf numFmtId="0" fontId="3" fillId="9" borderId="1" xfId="0" applyFont="1" applyFill="1" applyBorder="1" applyAlignment="1">
      <alignment vertical="center" wrapText="1"/>
    </xf>
    <xf numFmtId="0" fontId="4" fillId="7" borderId="1" xfId="0" applyFont="1" applyFill="1" applyBorder="1" applyAlignment="1">
      <alignment horizontal="left" vertical="top" wrapText="1"/>
    </xf>
    <xf numFmtId="0" fontId="15" fillId="0" borderId="1" xfId="1" applyFont="1" applyBorder="1" applyAlignment="1">
      <alignment vertical="center" wrapText="1"/>
    </xf>
    <xf numFmtId="0" fontId="5" fillId="4" borderId="1" xfId="0" applyFont="1" applyFill="1" applyBorder="1" applyAlignment="1">
      <alignment vertical="center"/>
    </xf>
    <xf numFmtId="0" fontId="6" fillId="7" borderId="1" xfId="0" applyFont="1" applyFill="1" applyBorder="1" applyAlignment="1">
      <alignment vertical="top" wrapText="1"/>
    </xf>
    <xf numFmtId="0" fontId="7" fillId="9" borderId="1" xfId="0" applyFont="1" applyFill="1" applyBorder="1" applyAlignment="1">
      <alignment horizontal="left" vertical="center" wrapText="1"/>
    </xf>
    <xf numFmtId="0" fontId="8" fillId="9" borderId="1" xfId="0" applyFont="1" applyFill="1" applyBorder="1" applyAlignment="1">
      <alignment horizontal="center" vertical="center"/>
    </xf>
    <xf numFmtId="0" fontId="5" fillId="7" borderId="1" xfId="0" applyFont="1" applyFill="1" applyBorder="1" applyAlignment="1">
      <alignment horizontal="center" vertical="top" wrapText="1"/>
    </xf>
    <xf numFmtId="0" fontId="3" fillId="10" borderId="1" xfId="0" applyFont="1" applyFill="1" applyBorder="1" applyAlignment="1">
      <alignment vertical="center" wrapText="1"/>
    </xf>
    <xf numFmtId="0" fontId="12" fillId="0" borderId="1" xfId="0" applyFont="1" applyBorder="1" applyAlignment="1">
      <alignment horizontal="left" vertical="center" wrapText="1"/>
    </xf>
    <xf numFmtId="0" fontId="17" fillId="7" borderId="1" xfId="0" applyFont="1" applyFill="1" applyBorder="1" applyAlignment="1">
      <alignment vertical="top" wrapText="1"/>
    </xf>
    <xf numFmtId="0" fontId="15" fillId="0" borderId="1" xfId="1" applyFont="1" applyBorder="1" applyAlignment="1">
      <alignment vertical="center"/>
    </xf>
    <xf numFmtId="0" fontId="3" fillId="9" borderId="1" xfId="0" applyFont="1" applyFill="1" applyBorder="1" applyAlignment="1">
      <alignment horizontal="left" vertical="center" wrapText="1"/>
    </xf>
    <xf numFmtId="0" fontId="3" fillId="11" borderId="1" xfId="0" applyFont="1" applyFill="1" applyBorder="1" applyAlignment="1">
      <alignment vertical="center" wrapText="1"/>
    </xf>
    <xf numFmtId="0" fontId="12" fillId="9" borderId="1" xfId="0" applyFont="1" applyFill="1" applyBorder="1" applyAlignment="1">
      <alignment vertical="center" wrapText="1"/>
    </xf>
    <xf numFmtId="0" fontId="5" fillId="7" borderId="1" xfId="0" applyFont="1" applyFill="1" applyBorder="1" applyAlignment="1">
      <alignment vertical="top" wrapText="1"/>
    </xf>
    <xf numFmtId="0" fontId="5" fillId="10" borderId="1" xfId="0" applyFont="1" applyFill="1" applyBorder="1" applyAlignment="1">
      <alignment horizontal="center" vertical="center"/>
    </xf>
    <xf numFmtId="0" fontId="0" fillId="7" borderId="1" xfId="0" applyFill="1" applyBorder="1" applyAlignment="1">
      <alignment vertical="top" wrapText="1"/>
    </xf>
    <xf numFmtId="0" fontId="0" fillId="0" borderId="1" xfId="0" applyBorder="1" applyAlignment="1">
      <alignment wrapText="1"/>
    </xf>
    <xf numFmtId="0" fontId="0" fillId="0" borderId="1" xfId="0" applyBorder="1"/>
    <xf numFmtId="0" fontId="9" fillId="4" borderId="1" xfId="0" applyFont="1" applyFill="1" applyBorder="1" applyAlignment="1">
      <alignment horizontal="center" vertical="center"/>
    </xf>
    <xf numFmtId="0" fontId="7" fillId="0" borderId="1" xfId="0" applyFont="1" applyBorder="1" applyAlignment="1">
      <alignment vertical="center" wrapText="1"/>
    </xf>
    <xf numFmtId="0" fontId="14" fillId="0" borderId="1" xfId="0" applyFont="1" applyBorder="1" applyAlignment="1">
      <alignment vertical="center"/>
    </xf>
    <xf numFmtId="0" fontId="7" fillId="12" borderId="1" xfId="0" applyFont="1" applyFill="1" applyBorder="1" applyAlignment="1">
      <alignment vertical="center" wrapText="1"/>
    </xf>
    <xf numFmtId="0" fontId="12" fillId="12" borderId="1" xfId="0" applyFont="1" applyFill="1" applyBorder="1" applyAlignment="1">
      <alignment vertical="center" wrapText="1"/>
    </xf>
    <xf numFmtId="0" fontId="9" fillId="13" borderId="1" xfId="0" applyFont="1" applyFill="1" applyBorder="1" applyAlignment="1">
      <alignment horizontal="center" vertical="center"/>
    </xf>
    <xf numFmtId="0" fontId="3" fillId="12" borderId="1" xfId="0" applyFont="1" applyFill="1" applyBorder="1" applyAlignment="1">
      <alignment vertical="center" wrapText="1"/>
    </xf>
    <xf numFmtId="0" fontId="12" fillId="12" borderId="1" xfId="0" applyFont="1" applyFill="1" applyBorder="1" applyAlignment="1">
      <alignment horizontal="left" vertical="center" wrapText="1"/>
    </xf>
    <xf numFmtId="0" fontId="0" fillId="11" borderId="1" xfId="0" applyFill="1" applyBorder="1" applyAlignment="1">
      <alignment wrapText="1"/>
    </xf>
    <xf numFmtId="0" fontId="0" fillId="11" borderId="1" xfId="0" applyFill="1" applyBorder="1"/>
    <xf numFmtId="0" fontId="5" fillId="14" borderId="1" xfId="0" applyFont="1" applyFill="1" applyBorder="1" applyAlignment="1">
      <alignment horizontal="center" vertical="center"/>
    </xf>
    <xf numFmtId="0" fontId="12" fillId="9" borderId="1" xfId="0" applyFont="1" applyFill="1" applyBorder="1" applyAlignment="1">
      <alignment horizontal="left" vertical="center" wrapText="1"/>
    </xf>
    <xf numFmtId="0" fontId="13" fillId="7" borderId="1" xfId="0" applyFont="1" applyFill="1" applyBorder="1" applyAlignment="1">
      <alignment vertical="top" wrapText="1"/>
    </xf>
    <xf numFmtId="0" fontId="13" fillId="0" borderId="1" xfId="0" applyFont="1" applyBorder="1"/>
    <xf numFmtId="0" fontId="12" fillId="4" borderId="1" xfId="0" applyFont="1" applyFill="1" applyBorder="1" applyAlignment="1">
      <alignment vertical="center" wrapText="1"/>
    </xf>
    <xf numFmtId="0" fontId="3" fillId="4" borderId="1" xfId="0" applyFont="1" applyFill="1" applyBorder="1" applyAlignment="1">
      <alignment vertical="center" wrapText="1"/>
    </xf>
    <xf numFmtId="0" fontId="12" fillId="4" borderId="1" xfId="0" applyFont="1" applyFill="1" applyBorder="1" applyAlignment="1">
      <alignment horizontal="left" vertical="center" wrapText="1"/>
    </xf>
    <xf numFmtId="0" fontId="9" fillId="9" borderId="1" xfId="0" applyFont="1" applyFill="1" applyBorder="1" applyAlignment="1">
      <alignment horizontal="center" vertical="center"/>
    </xf>
    <xf numFmtId="0" fontId="18" fillId="13"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Border="1" applyAlignment="1">
      <alignment horizontal="center" vertical="center"/>
    </xf>
    <xf numFmtId="0" fontId="18" fillId="4" borderId="1" xfId="0" applyFont="1" applyFill="1" applyBorder="1" applyAlignment="1">
      <alignment horizontal="left" vertical="center" wrapText="1"/>
    </xf>
    <xf numFmtId="0" fontId="18" fillId="9" borderId="1" xfId="0" applyFont="1" applyFill="1" applyBorder="1" applyAlignment="1">
      <alignment horizontal="center" vertical="center"/>
    </xf>
    <xf numFmtId="0" fontId="0" fillId="7" borderId="1" xfId="0" applyFill="1" applyBorder="1" applyAlignment="1">
      <alignment horizontal="left" vertical="top" wrapText="1"/>
    </xf>
    <xf numFmtId="0" fontId="13" fillId="0" borderId="1" xfId="0" applyFont="1" applyBorder="1" applyAlignment="1">
      <alignment wrapText="1"/>
    </xf>
    <xf numFmtId="0" fontId="9" fillId="0" borderId="1" xfId="0" applyFont="1" applyBorder="1" applyAlignment="1">
      <alignment horizontal="center" vertical="center" wrapText="1"/>
    </xf>
    <xf numFmtId="0" fontId="12" fillId="13" borderId="1" xfId="0" applyFont="1" applyFill="1" applyBorder="1" applyAlignment="1">
      <alignment vertical="center" wrapText="1"/>
    </xf>
    <xf numFmtId="0" fontId="9" fillId="13" borderId="1" xfId="0" applyFont="1" applyFill="1" applyBorder="1" applyAlignment="1">
      <alignment horizontal="center" vertical="center" wrapText="1"/>
    </xf>
    <xf numFmtId="0" fontId="12" fillId="13" borderId="1" xfId="0" applyFont="1" applyFill="1" applyBorder="1" applyAlignment="1">
      <alignment horizontal="left" vertical="center" wrapText="1"/>
    </xf>
    <xf numFmtId="0" fontId="5" fillId="13" borderId="1" xfId="0" applyFont="1" applyFill="1" applyBorder="1" applyAlignment="1">
      <alignment horizontal="center" vertical="center"/>
    </xf>
    <xf numFmtId="0" fontId="9" fillId="10" borderId="1" xfId="0" applyFont="1" applyFill="1" applyBorder="1" applyAlignment="1">
      <alignment horizontal="center" vertical="center"/>
    </xf>
    <xf numFmtId="0" fontId="9"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7" fillId="14" borderId="1" xfId="0" applyFont="1" applyFill="1" applyBorder="1" applyAlignment="1">
      <alignment vertical="center" wrapText="1"/>
    </xf>
    <xf numFmtId="0" fontId="20" fillId="0" borderId="1" xfId="0" applyFont="1" applyBorder="1" applyAlignment="1">
      <alignment horizontal="center" vertical="center"/>
    </xf>
    <xf numFmtId="0" fontId="21" fillId="0" borderId="1" xfId="0" applyFont="1" applyBorder="1" applyAlignment="1">
      <alignment vertical="center" wrapText="1"/>
    </xf>
    <xf numFmtId="0" fontId="22" fillId="0" borderId="1" xfId="0" applyFont="1" applyBorder="1" applyAlignment="1">
      <alignment vertical="center" wrapText="1"/>
    </xf>
    <xf numFmtId="0" fontId="22" fillId="0" borderId="1" xfId="0" applyFont="1" applyBorder="1" applyAlignment="1">
      <alignment horizontal="left" vertical="center" wrapText="1"/>
    </xf>
    <xf numFmtId="0" fontId="8" fillId="10" borderId="1" xfId="0" applyFont="1" applyFill="1" applyBorder="1" applyAlignment="1">
      <alignment horizontal="center" vertical="center"/>
    </xf>
    <xf numFmtId="0" fontId="12" fillId="10" borderId="1" xfId="0" applyFont="1" applyFill="1" applyBorder="1" applyAlignment="1">
      <alignment horizontal="left" vertical="center" wrapText="1"/>
    </xf>
    <xf numFmtId="0" fontId="3" fillId="9" borderId="1" xfId="0" applyFont="1" applyFill="1" applyBorder="1" applyAlignment="1">
      <alignment vertical="center"/>
    </xf>
    <xf numFmtId="0" fontId="5" fillId="4" borderId="1" xfId="0" applyFont="1" applyFill="1" applyBorder="1" applyAlignment="1">
      <alignment vertical="center" wrapText="1"/>
    </xf>
    <xf numFmtId="0" fontId="3" fillId="13" borderId="1" xfId="0" applyFont="1" applyFill="1" applyBorder="1" applyAlignment="1">
      <alignment vertical="center" wrapText="1"/>
    </xf>
    <xf numFmtId="0" fontId="3" fillId="8" borderId="1" xfId="0" applyFont="1" applyFill="1" applyBorder="1" applyAlignment="1">
      <alignment vertical="center"/>
    </xf>
    <xf numFmtId="0" fontId="4" fillId="8" borderId="1" xfId="0" applyFont="1" applyFill="1" applyBorder="1" applyAlignment="1">
      <alignment vertical="center"/>
    </xf>
    <xf numFmtId="0" fontId="4" fillId="4" borderId="1" xfId="0" applyFont="1" applyFill="1" applyBorder="1" applyAlignment="1">
      <alignment vertical="center"/>
    </xf>
    <xf numFmtId="0" fontId="12" fillId="0" borderId="1"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8" fillId="9" borderId="1" xfId="0" applyFont="1" applyFill="1" applyBorder="1" applyAlignment="1">
      <alignment horizontal="center" vertical="center" wrapText="1"/>
    </xf>
    <xf numFmtId="0" fontId="7" fillId="13" borderId="1" xfId="0" applyFont="1" applyFill="1" applyBorder="1" applyAlignment="1">
      <alignment horizontal="left" vertical="center" wrapText="1"/>
    </xf>
    <xf numFmtId="0" fontId="7" fillId="9" borderId="1" xfId="0" applyFont="1" applyFill="1" applyBorder="1" applyAlignment="1">
      <alignment vertical="center" wrapText="1"/>
    </xf>
    <xf numFmtId="0" fontId="8" fillId="13"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7" fillId="11" borderId="1" xfId="0" applyFont="1" applyFill="1" applyBorder="1" applyAlignment="1">
      <alignment horizontal="left" vertical="center" wrapText="1"/>
    </xf>
    <xf numFmtId="0" fontId="8" fillId="15" borderId="1" xfId="0" applyFont="1" applyFill="1" applyBorder="1" applyAlignment="1">
      <alignment horizontal="center" vertical="center" wrapText="1"/>
    </xf>
    <xf numFmtId="0" fontId="10" fillId="7" borderId="1" xfId="0" applyFont="1" applyFill="1" applyBorder="1" applyAlignment="1">
      <alignment vertical="top" wrapText="1"/>
    </xf>
    <xf numFmtId="0" fontId="10" fillId="0" borderId="1" xfId="0" applyFont="1" applyBorder="1" applyAlignment="1">
      <alignment vertical="center" wrapText="1"/>
    </xf>
    <xf numFmtId="0" fontId="12" fillId="0" borderId="1" xfId="0" applyFont="1" applyBorder="1" applyAlignment="1">
      <alignment horizontal="left" vertical="center"/>
    </xf>
    <xf numFmtId="0" fontId="7" fillId="5"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1" fillId="0" borderId="1" xfId="0" applyFont="1" applyBorder="1" applyAlignment="1">
      <alignment horizontal="center" vertical="center"/>
    </xf>
    <xf numFmtId="0" fontId="1" fillId="15" borderId="0" xfId="0" applyFont="1" applyFill="1"/>
    <xf numFmtId="0" fontId="0" fillId="0" borderId="0" xfId="0" applyAlignment="1">
      <alignment vertical="center"/>
    </xf>
    <xf numFmtId="0" fontId="23" fillId="0" borderId="0" xfId="0" applyFont="1" applyAlignment="1">
      <alignment vertical="center"/>
    </xf>
    <xf numFmtId="0" fontId="24" fillId="0" borderId="0" xfId="0" applyFont="1" applyAlignment="1">
      <alignment vertical="center"/>
    </xf>
    <xf numFmtId="0" fontId="0" fillId="0" borderId="0" xfId="0" applyAlignment="1">
      <alignment horizontal="left" vertical="center"/>
    </xf>
    <xf numFmtId="0" fontId="25" fillId="0" borderId="0" xfId="0" applyFont="1" applyAlignment="1">
      <alignment vertical="center" wrapText="1"/>
    </xf>
    <xf numFmtId="0" fontId="0" fillId="11" borderId="0" xfId="0" applyFill="1"/>
    <xf numFmtId="0" fontId="1" fillId="0" borderId="0" xfId="0" applyFont="1" applyFill="1"/>
    <xf numFmtId="0" fontId="26" fillId="0" borderId="0" xfId="0" applyFont="1"/>
    <xf numFmtId="0" fontId="26" fillId="17" borderId="0" xfId="0" applyFont="1" applyFill="1"/>
    <xf numFmtId="0" fontId="0" fillId="17" borderId="0" xfId="0" applyFill="1"/>
    <xf numFmtId="0" fontId="27" fillId="0" borderId="0" xfId="0" applyFont="1" applyAlignment="1">
      <alignment vertical="center"/>
    </xf>
    <xf numFmtId="0" fontId="24" fillId="18" borderId="0" xfId="0" applyFont="1" applyFill="1" applyAlignment="1">
      <alignment vertical="center"/>
    </xf>
    <xf numFmtId="0" fontId="24" fillId="19" borderId="0" xfId="0" applyFont="1" applyFill="1" applyAlignment="1">
      <alignment vertical="center"/>
    </xf>
    <xf numFmtId="0" fontId="28" fillId="0" borderId="0" xfId="0" applyFont="1"/>
    <xf numFmtId="0" fontId="0" fillId="15" borderId="0" xfId="0" applyFill="1"/>
    <xf numFmtId="0" fontId="6" fillId="18" borderId="0" xfId="0" applyFont="1" applyFill="1"/>
    <xf numFmtId="0" fontId="0" fillId="18" borderId="0" xfId="0" applyFill="1"/>
    <xf numFmtId="0" fontId="26" fillId="20" borderId="0" xfId="0" applyFont="1" applyFill="1"/>
    <xf numFmtId="0" fontId="24" fillId="0" borderId="0" xfId="0" applyFont="1"/>
    <xf numFmtId="0" fontId="0" fillId="10" borderId="0" xfId="0" applyFill="1"/>
    <xf numFmtId="0" fontId="5" fillId="2" borderId="0" xfId="0" applyFont="1" applyFill="1" applyAlignment="1">
      <alignment horizontal="center" vertical="center"/>
    </xf>
    <xf numFmtId="0" fontId="5" fillId="2" borderId="0" xfId="0" applyFont="1" applyFill="1" applyAlignment="1">
      <alignment horizontal="left" vertical="center"/>
    </xf>
    <xf numFmtId="0" fontId="24" fillId="0" borderId="0" xfId="0" applyFont="1" applyAlignment="1">
      <alignment horizontal="center" vertical="center"/>
    </xf>
    <xf numFmtId="0" fontId="3" fillId="0" borderId="0" xfId="0" applyFont="1" applyAlignment="1">
      <alignment vertical="center"/>
    </xf>
    <xf numFmtId="0" fontId="24" fillId="0" borderId="0" xfId="0" applyFont="1" applyAlignment="1">
      <alignment horizontal="left" vertical="center"/>
    </xf>
    <xf numFmtId="0" fontId="3" fillId="14" borderId="1" xfId="0" applyFont="1" applyFill="1" applyBorder="1" applyAlignment="1">
      <alignment vertical="center" wrapText="1"/>
    </xf>
    <xf numFmtId="0" fontId="3" fillId="14" borderId="1" xfId="0" applyFont="1" applyFill="1" applyBorder="1" applyAlignment="1">
      <alignment horizontal="left" vertical="center" wrapText="1"/>
    </xf>
    <xf numFmtId="0" fontId="9" fillId="14" borderId="1" xfId="0" applyFont="1" applyFill="1" applyBorder="1" applyAlignment="1">
      <alignment horizontal="center" vertical="center"/>
    </xf>
    <xf numFmtId="0" fontId="12" fillId="14" borderId="1" xfId="0" applyFont="1" applyFill="1" applyBorder="1" applyAlignment="1">
      <alignment vertical="center" wrapText="1"/>
    </xf>
    <xf numFmtId="0" fontId="3" fillId="14" borderId="1" xfId="0" applyFont="1" applyFill="1" applyBorder="1" applyAlignment="1">
      <alignment vertical="center"/>
    </xf>
    <xf numFmtId="0" fontId="7" fillId="14" borderId="1" xfId="0" applyFont="1" applyFill="1" applyBorder="1" applyAlignment="1">
      <alignment horizontal="left" vertical="center" wrapText="1"/>
    </xf>
    <xf numFmtId="0" fontId="8" fillId="14" borderId="1" xfId="0" applyFont="1" applyFill="1" applyBorder="1" applyAlignment="1">
      <alignment horizontal="center" vertical="center"/>
    </xf>
    <xf numFmtId="0" fontId="4" fillId="14" borderId="1" xfId="0" applyFont="1" applyFill="1" applyBorder="1" applyAlignment="1">
      <alignment vertical="top"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3" fillId="5" borderId="0" xfId="0" applyFont="1" applyFill="1" applyAlignment="1">
      <alignment wrapText="1"/>
    </xf>
    <xf numFmtId="14" fontId="5" fillId="0" borderId="1" xfId="0" applyNumberFormat="1" applyFont="1" applyFill="1" applyBorder="1" applyAlignment="1">
      <alignment horizontal="center" vertical="center" wrapText="1"/>
    </xf>
    <xf numFmtId="0" fontId="3" fillId="0" borderId="1" xfId="0" applyFont="1" applyFill="1" applyBorder="1" applyAlignment="1">
      <alignment vertical="top" wrapText="1"/>
    </xf>
    <xf numFmtId="0" fontId="4" fillId="0" borderId="1" xfId="0" applyFont="1" applyFill="1" applyBorder="1" applyAlignment="1">
      <alignment vertical="top" wrapText="1"/>
    </xf>
    <xf numFmtId="0" fontId="5" fillId="0" borderId="1" xfId="0" applyFont="1" applyFill="1" applyBorder="1" applyAlignment="1">
      <alignment horizontal="center" vertical="top" wrapText="1"/>
    </xf>
    <xf numFmtId="0" fontId="6" fillId="0" borderId="1" xfId="0" applyFont="1" applyFill="1" applyBorder="1" applyAlignment="1">
      <alignment vertical="top" wrapText="1"/>
    </xf>
    <xf numFmtId="0" fontId="0" fillId="0" borderId="0" xfId="0" applyFill="1" applyAlignment="1">
      <alignment horizontal="center" vertical="center" wrapText="1"/>
    </xf>
    <xf numFmtId="0" fontId="14" fillId="0" borderId="1" xfId="0" applyFont="1" applyFill="1" applyBorder="1" applyAlignment="1">
      <alignment horizontal="center" vertical="center" wrapText="1"/>
    </xf>
    <xf numFmtId="0" fontId="0" fillId="0" borderId="0" xfId="0" applyFont="1"/>
    <xf numFmtId="0" fontId="4" fillId="0" borderId="1" xfId="0" applyFont="1" applyFill="1" applyBorder="1" applyAlignment="1">
      <alignment vertical="top"/>
    </xf>
    <xf numFmtId="0" fontId="3" fillId="0" borderId="1" xfId="0" applyFont="1" applyFill="1" applyBorder="1" applyAlignment="1">
      <alignment vertical="top"/>
    </xf>
    <xf numFmtId="0" fontId="3" fillId="0" borderId="1" xfId="0" applyFont="1" applyFill="1" applyBorder="1" applyAlignment="1">
      <alignment horizontal="left" vertical="center"/>
    </xf>
    <xf numFmtId="0" fontId="3" fillId="0" borderId="0" xfId="0" applyFont="1" applyFill="1" applyAlignment="1">
      <alignment vertical="center" wrapText="1"/>
    </xf>
    <xf numFmtId="0" fontId="0" fillId="0" borderId="0" xfId="0" applyFont="1" applyFill="1" applyAlignment="1">
      <alignment wrapText="1"/>
    </xf>
    <xf numFmtId="0" fontId="5" fillId="2" borderId="1" xfId="0" applyFont="1" applyFill="1" applyBorder="1" applyAlignment="1">
      <alignment vertical="center"/>
    </xf>
    <xf numFmtId="0" fontId="12" fillId="0" borderId="1" xfId="0" applyFont="1" applyBorder="1" applyAlignment="1">
      <alignment vertical="center"/>
    </xf>
    <xf numFmtId="0" fontId="17" fillId="0" borderId="1" xfId="0" applyFont="1" applyBorder="1" applyAlignment="1">
      <alignment vertical="center"/>
    </xf>
    <xf numFmtId="0" fontId="2" fillId="0" borderId="1" xfId="0" applyFont="1" applyFill="1" applyBorder="1" applyAlignment="1">
      <alignment horizontal="center" vertical="top"/>
    </xf>
    <xf numFmtId="14" fontId="5"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0" fontId="17" fillId="0" borderId="1" xfId="0" applyFont="1" applyFill="1" applyBorder="1" applyAlignment="1">
      <alignment vertical="top" wrapText="1"/>
    </xf>
    <xf numFmtId="0" fontId="17" fillId="0" borderId="1" xfId="0" applyFont="1" applyFill="1" applyBorder="1" applyAlignment="1">
      <alignment horizontal="center" vertical="center" wrapText="1"/>
    </xf>
    <xf numFmtId="0" fontId="0" fillId="0" borderId="0" xfId="0" applyFill="1" applyAlignment="1">
      <alignment vertical="top"/>
    </xf>
    <xf numFmtId="0" fontId="14" fillId="0" borderId="1" xfId="0" applyFont="1" applyFill="1" applyBorder="1" applyAlignment="1">
      <alignment vertical="top" wrapText="1"/>
    </xf>
    <xf numFmtId="0" fontId="13" fillId="0" borderId="0" xfId="0" applyFont="1" applyFill="1" applyAlignment="1">
      <alignment vertical="top"/>
    </xf>
    <xf numFmtId="0" fontId="5" fillId="0" borderId="1" xfId="0" applyFont="1" applyFill="1" applyBorder="1" applyAlignment="1">
      <alignment horizontal="center" vertical="top"/>
    </xf>
    <xf numFmtId="0" fontId="10" fillId="0" borderId="1" xfId="0" applyFont="1" applyFill="1" applyBorder="1" applyAlignment="1">
      <alignment vertical="top"/>
    </xf>
    <xf numFmtId="0" fontId="6" fillId="0" borderId="1" xfId="0" applyFont="1" applyFill="1" applyBorder="1" applyAlignment="1">
      <alignment vertical="top"/>
    </xf>
    <xf numFmtId="0" fontId="9" fillId="0" borderId="1" xfId="0" applyFont="1" applyFill="1" applyBorder="1" applyAlignment="1">
      <alignment vertical="center" wrapText="1"/>
    </xf>
    <xf numFmtId="0" fontId="3" fillId="21" borderId="6" xfId="0" applyFont="1" applyFill="1" applyBorder="1" applyAlignment="1">
      <alignment horizontal="center" vertical="center"/>
    </xf>
    <xf numFmtId="0" fontId="3" fillId="21" borderId="1" xfId="0" applyFont="1" applyFill="1" applyBorder="1" applyAlignment="1">
      <alignment vertical="center" wrapText="1"/>
    </xf>
    <xf numFmtId="0" fontId="5" fillId="21" borderId="1" xfId="0" applyFont="1" applyFill="1" applyBorder="1" applyAlignment="1">
      <alignment horizontal="center" vertical="center"/>
    </xf>
    <xf numFmtId="0" fontId="3" fillId="21" borderId="1" xfId="0" applyFont="1" applyFill="1" applyBorder="1" applyAlignment="1">
      <alignment horizontal="center" vertical="center"/>
    </xf>
    <xf numFmtId="0" fontId="12" fillId="8" borderId="1" xfId="0" applyFont="1" applyFill="1" applyBorder="1" applyAlignment="1">
      <alignment horizontal="left" vertical="center" wrapText="1"/>
    </xf>
    <xf numFmtId="0" fontId="3" fillId="8" borderId="1" xfId="0" applyFont="1" applyFill="1" applyBorder="1" applyAlignment="1">
      <alignment horizontal="center" vertical="center"/>
    </xf>
    <xf numFmtId="0" fontId="3" fillId="21" borderId="1" xfId="0" applyFont="1" applyFill="1" applyBorder="1" applyAlignment="1">
      <alignment horizontal="left" vertical="center" wrapText="1"/>
    </xf>
    <xf numFmtId="0" fontId="13" fillId="0" borderId="0" xfId="0" applyFont="1" applyFill="1" applyAlignment="1">
      <alignment horizontal="center" vertical="center" wrapText="1"/>
    </xf>
    <xf numFmtId="0" fontId="13" fillId="0" borderId="0" xfId="0" applyFont="1" applyFill="1"/>
    <xf numFmtId="0" fontId="9" fillId="21" borderId="1" xfId="0" applyFont="1" applyFill="1" applyBorder="1" applyAlignment="1">
      <alignment horizontal="center" vertical="center"/>
    </xf>
    <xf numFmtId="0" fontId="12" fillId="21" borderId="1" xfId="0" applyFont="1" applyFill="1" applyBorder="1" applyAlignment="1">
      <alignment vertical="center" wrapText="1"/>
    </xf>
    <xf numFmtId="0" fontId="12" fillId="21" borderId="1" xfId="0" applyFont="1" applyFill="1" applyBorder="1" applyAlignment="1">
      <alignment horizontal="left" vertical="center" wrapText="1"/>
    </xf>
    <xf numFmtId="0" fontId="5" fillId="18" borderId="2" xfId="0" applyFont="1" applyFill="1" applyBorder="1" applyAlignment="1">
      <alignment horizontal="center" vertical="center"/>
    </xf>
    <xf numFmtId="0" fontId="3" fillId="18" borderId="3" xfId="0" applyFont="1" applyFill="1" applyBorder="1" applyAlignment="1">
      <alignment vertical="center" wrapText="1"/>
    </xf>
    <xf numFmtId="0" fontId="3" fillId="18" borderId="3" xfId="0" applyFont="1" applyFill="1" applyBorder="1" applyAlignment="1">
      <alignment vertical="top" wrapText="1"/>
    </xf>
    <xf numFmtId="0" fontId="5" fillId="18" borderId="3" xfId="0" applyFont="1" applyFill="1" applyBorder="1" applyAlignment="1">
      <alignment horizontal="center" vertical="center"/>
    </xf>
    <xf numFmtId="0" fontId="9" fillId="18" borderId="3" xfId="0" applyFont="1" applyFill="1" applyBorder="1" applyAlignment="1">
      <alignment horizontal="center" vertical="center"/>
    </xf>
    <xf numFmtId="0" fontId="3" fillId="18" borderId="3" xfId="0" applyFont="1" applyFill="1" applyBorder="1" applyAlignment="1">
      <alignment horizontal="left" vertical="center"/>
    </xf>
    <xf numFmtId="0" fontId="5" fillId="18" borderId="4" xfId="0" applyFont="1" applyFill="1" applyBorder="1" applyAlignment="1">
      <alignment horizontal="center" vertical="center"/>
    </xf>
    <xf numFmtId="0" fontId="5" fillId="18" borderId="1" xfId="0" applyFont="1" applyFill="1" applyBorder="1" applyAlignment="1">
      <alignment horizontal="center" vertical="center"/>
    </xf>
    <xf numFmtId="0" fontId="3" fillId="18" borderId="1" xfId="0" applyFont="1" applyFill="1" applyBorder="1" applyAlignment="1">
      <alignment vertical="center" wrapText="1"/>
    </xf>
    <xf numFmtId="0" fontId="3" fillId="18" borderId="1" xfId="0" applyFont="1" applyFill="1" applyBorder="1" applyAlignment="1">
      <alignment vertical="center"/>
    </xf>
    <xf numFmtId="0" fontId="3" fillId="22" borderId="1" xfId="0" applyFont="1" applyFill="1" applyBorder="1" applyAlignment="1">
      <alignment vertical="center" wrapText="1"/>
    </xf>
    <xf numFmtId="0" fontId="9" fillId="22" borderId="1" xfId="0" applyFont="1" applyFill="1" applyBorder="1" applyAlignment="1">
      <alignment horizontal="center" vertical="center"/>
    </xf>
    <xf numFmtId="0" fontId="5" fillId="22" borderId="1" xfId="0" applyFont="1" applyFill="1" applyBorder="1" applyAlignment="1">
      <alignment horizontal="center" vertical="center"/>
    </xf>
    <xf numFmtId="0" fontId="3" fillId="22" borderId="1" xfId="0" applyFont="1" applyFill="1" applyBorder="1" applyAlignment="1">
      <alignment horizontal="left" vertical="center"/>
    </xf>
    <xf numFmtId="0" fontId="5" fillId="22" borderId="2" xfId="0" applyFont="1" applyFill="1" applyBorder="1" applyAlignment="1">
      <alignment horizontal="center" vertical="center"/>
    </xf>
    <xf numFmtId="0" fontId="3" fillId="22" borderId="3" xfId="0" applyFont="1" applyFill="1" applyBorder="1" applyAlignment="1">
      <alignment vertical="center" wrapText="1"/>
    </xf>
    <xf numFmtId="0" fontId="3" fillId="22" borderId="1" xfId="0" applyFont="1" applyFill="1" applyBorder="1" applyAlignment="1">
      <alignment vertical="center"/>
    </xf>
    <xf numFmtId="0" fontId="3" fillId="22" borderId="1" xfId="0" applyFont="1" applyFill="1" applyBorder="1" applyAlignment="1">
      <alignment horizontal="left" vertical="center" wrapText="1"/>
    </xf>
    <xf numFmtId="0" fontId="3" fillId="22" borderId="6" xfId="0" applyFont="1" applyFill="1" applyBorder="1" applyAlignment="1">
      <alignment horizontal="center" vertical="center"/>
    </xf>
    <xf numFmtId="0" fontId="12" fillId="22" borderId="1" xfId="0" applyFont="1" applyFill="1" applyBorder="1" applyAlignment="1">
      <alignment vertical="center" wrapText="1"/>
    </xf>
    <xf numFmtId="0" fontId="12" fillId="23" borderId="1" xfId="0" applyFont="1" applyFill="1" applyBorder="1" applyAlignment="1">
      <alignment horizontal="left" vertical="center" wrapText="1"/>
    </xf>
    <xf numFmtId="0" fontId="12" fillId="23" borderId="1" xfId="0" applyFont="1" applyFill="1" applyBorder="1" applyAlignment="1">
      <alignment vertical="center" wrapText="1"/>
    </xf>
    <xf numFmtId="0" fontId="3" fillId="23" borderId="1" xfId="0" applyFont="1" applyFill="1" applyBorder="1" applyAlignment="1">
      <alignment vertical="center" wrapText="1"/>
    </xf>
    <xf numFmtId="0" fontId="5" fillId="23" borderId="1" xfId="0" applyFont="1" applyFill="1" applyBorder="1" applyAlignment="1">
      <alignment horizontal="center" vertical="center"/>
    </xf>
    <xf numFmtId="0" fontId="7" fillId="23" borderId="1" xfId="0" applyFont="1" applyFill="1" applyBorder="1" applyAlignment="1">
      <alignment horizontal="left" vertical="center" wrapText="1"/>
    </xf>
    <xf numFmtId="0" fontId="8" fillId="23" borderId="1" xfId="0" applyFont="1" applyFill="1" applyBorder="1" applyAlignment="1">
      <alignment horizontal="center" vertical="center"/>
    </xf>
    <xf numFmtId="0" fontId="3" fillId="23" borderId="1" xfId="0" applyFont="1" applyFill="1" applyBorder="1" applyAlignment="1">
      <alignment horizontal="center" vertical="center"/>
    </xf>
    <xf numFmtId="0" fontId="3" fillId="23" borderId="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3" xfId="0" applyFont="1" applyFill="1" applyBorder="1" applyAlignment="1">
      <alignment horizontal="left" vertical="center" wrapText="1"/>
    </xf>
    <xf numFmtId="0" fontId="9" fillId="4" borderId="4" xfId="0" applyFont="1" applyFill="1" applyBorder="1" applyAlignment="1">
      <alignment horizontal="left" vertical="center" wrapText="1"/>
    </xf>
    <xf numFmtId="0" fontId="2" fillId="0" borderId="7"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2" borderId="1" xfId="0" applyFont="1" applyFill="1" applyBorder="1" applyAlignment="1">
      <alignment horizontal="center" vertical="center"/>
    </xf>
    <xf numFmtId="0" fontId="9" fillId="22" borderId="2" xfId="0" applyFont="1" applyFill="1" applyBorder="1" applyAlignment="1">
      <alignment horizontal="left" vertical="center" wrapText="1"/>
    </xf>
    <xf numFmtId="0" fontId="9" fillId="22" borderId="3" xfId="0" applyFont="1" applyFill="1" applyBorder="1" applyAlignment="1">
      <alignment horizontal="left" vertical="center" wrapText="1"/>
    </xf>
    <xf numFmtId="0" fontId="9" fillId="22" borderId="4" xfId="0" applyFont="1" applyFill="1" applyBorder="1" applyAlignment="1">
      <alignment horizontal="left" vertical="center" wrapText="1"/>
    </xf>
    <xf numFmtId="0" fontId="5" fillId="8" borderId="2" xfId="0" applyFont="1" applyFill="1" applyBorder="1" applyAlignment="1">
      <alignment horizontal="left" vertical="center" wrapText="1"/>
    </xf>
    <xf numFmtId="0" fontId="5" fillId="8" borderId="3" xfId="0" applyFont="1" applyFill="1" applyBorder="1" applyAlignment="1">
      <alignment horizontal="left" vertical="center" wrapText="1"/>
    </xf>
    <xf numFmtId="0" fontId="5" fillId="8" borderId="4"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4" borderId="2" xfId="0" applyFont="1" applyFill="1" applyBorder="1" applyAlignment="1">
      <alignment horizontal="left" vertical="center"/>
    </xf>
    <xf numFmtId="0" fontId="5" fillId="4" borderId="3" xfId="0" applyFont="1" applyFill="1" applyBorder="1" applyAlignment="1">
      <alignment horizontal="left" vertical="center"/>
    </xf>
    <xf numFmtId="0" fontId="5" fillId="4" borderId="4" xfId="0" applyFont="1" applyFill="1" applyBorder="1" applyAlignment="1">
      <alignment horizontal="left" vertical="center"/>
    </xf>
    <xf numFmtId="0" fontId="5" fillId="4" borderId="1" xfId="0" applyFont="1" applyFill="1" applyBorder="1" applyAlignment="1">
      <alignment horizontal="left" vertical="center"/>
    </xf>
    <xf numFmtId="0" fontId="9"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2" borderId="1" xfId="0" applyFont="1" applyFill="1" applyBorder="1" applyAlignment="1">
      <alignment vertical="center"/>
    </xf>
    <xf numFmtId="0" fontId="5" fillId="2" borderId="1" xfId="0" applyFont="1" applyFill="1" applyBorder="1" applyAlignment="1">
      <alignment horizontal="left" vertical="center" wrapText="1"/>
    </xf>
    <xf numFmtId="0" fontId="4" fillId="7" borderId="1" xfId="0" applyFont="1" applyFill="1" applyBorder="1" applyAlignment="1">
      <alignment horizontal="center" vertical="top" wrapText="1"/>
    </xf>
  </cellXfs>
  <cellStyles count="2">
    <cellStyle name="Hyperlink" xfId="1" xr:uid="{00000000-0005-0000-0000-000000000000}"/>
    <cellStyle name="Normal" xfId="0" builtinId="0"/>
  </cellStyles>
  <dxfs count="0"/>
  <tableStyles count="0" defaultTableStyle="TableStyleMedium2" defaultPivotStyle="PivotStyleLight16"/>
  <colors>
    <mruColors>
      <color rgb="FFFFE1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tglbuc.sharepoint.com/personal/schueths_intermedia_org/Documents/Microsoft%20Teams%20Chat%20Files/Codebook%202018_Indonesia_blue%20highlights%209-24-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onesia"/>
      <sheetName val="brand name"/>
      <sheetName val="Institution"/>
      <sheetName val="Other"/>
      <sheetName val="Activity"/>
      <sheetName val="vDG4"/>
      <sheetName val="vDL1"/>
      <sheetName val="vDL2"/>
    </sheetNames>
    <sheetDataSet>
      <sheetData sheetId="0"/>
      <sheetData sheetId="1"/>
      <sheetData sheetId="2">
        <row r="8">
          <cell r="A8" t="str">
            <v>mobile money service</v>
          </cell>
        </row>
      </sheetData>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Samuel Schueth" id="{755769F2-81F0-CF4C-B8C1-790F40B6A68B}" userId="S::schueths@intermedia.org::3ed2b242-019d-41de-ad86-d9774e40dd5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25" dT="2019-02-14T03:03:37.76" personId="{755769F2-81F0-CF4C-B8C1-790F40B6A68B}" id="{AF038C27-C832-8547-B069-7A93D1A124B5}">
    <text>Deleted list of providers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L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9"/>
  <sheetViews>
    <sheetView tabSelected="1" zoomScaleNormal="100" workbookViewId="0">
      <pane ySplit="1" topLeftCell="A283" activePane="bottomLeft" state="frozen"/>
      <selection pane="bottomLeft" activeCell="B285" sqref="B285"/>
    </sheetView>
  </sheetViews>
  <sheetFormatPr baseColWidth="10" defaultColWidth="8.83203125" defaultRowHeight="14"/>
  <cols>
    <col min="1" max="1" width="14.83203125" style="2" customWidth="1"/>
    <col min="2" max="2" width="74" style="2" customWidth="1"/>
    <col min="3" max="3" width="39.5" style="2" customWidth="1"/>
    <col min="4" max="4" width="11.33203125" style="2" customWidth="1"/>
    <col min="5" max="5" width="8.83203125" style="2" customWidth="1"/>
    <col min="6" max="6" width="25.83203125" style="2" customWidth="1"/>
    <col min="7" max="7" width="24.83203125" style="2" customWidth="1"/>
    <col min="8" max="8" width="18.1640625" style="175" customWidth="1"/>
    <col min="9" max="9" width="20.1640625" style="163" customWidth="1"/>
    <col min="10" max="16384" width="8.83203125" style="2"/>
  </cols>
  <sheetData>
    <row r="1" spans="1:11">
      <c r="A1" s="243" t="s">
        <v>0</v>
      </c>
      <c r="B1" s="243"/>
      <c r="C1" s="243"/>
      <c r="D1" s="243"/>
      <c r="E1" s="243"/>
      <c r="F1" s="243"/>
      <c r="G1" s="243"/>
      <c r="H1" s="183"/>
      <c r="I1" s="241"/>
      <c r="J1" s="1"/>
      <c r="K1" s="1"/>
    </row>
    <row r="2" spans="1:11">
      <c r="A2" s="250" t="s">
        <v>1</v>
      </c>
      <c r="B2" s="250"/>
      <c r="C2" s="250"/>
      <c r="D2" s="250"/>
      <c r="E2" s="250"/>
      <c r="F2" s="250"/>
      <c r="G2" s="250"/>
      <c r="H2" s="184"/>
      <c r="I2" s="242"/>
      <c r="J2" s="1"/>
      <c r="K2" s="1"/>
    </row>
    <row r="3" spans="1:11">
      <c r="A3" s="3" t="s">
        <v>2</v>
      </c>
      <c r="B3" s="4" t="s">
        <v>3</v>
      </c>
      <c r="C3" s="4" t="s">
        <v>4</v>
      </c>
      <c r="D3" s="3" t="s">
        <v>5</v>
      </c>
      <c r="E3" s="3" t="s">
        <v>6</v>
      </c>
      <c r="F3" s="4" t="s">
        <v>7</v>
      </c>
      <c r="G3" s="3" t="s">
        <v>8</v>
      </c>
      <c r="H3" s="168"/>
      <c r="I3" s="167"/>
      <c r="J3" s="1"/>
      <c r="K3" s="1"/>
    </row>
    <row r="4" spans="1:11" s="1" customFormat="1">
      <c r="A4" s="5" t="s">
        <v>9</v>
      </c>
      <c r="B4" s="6" t="s">
        <v>10</v>
      </c>
      <c r="C4" s="6" t="s">
        <v>11</v>
      </c>
      <c r="D4" s="5" t="s">
        <v>12</v>
      </c>
      <c r="E4" s="5">
        <v>10</v>
      </c>
      <c r="F4" s="7" t="s">
        <v>13</v>
      </c>
      <c r="G4" s="5" t="str">
        <f>A4</f>
        <v>Serial</v>
      </c>
      <c r="H4" s="22"/>
      <c r="I4" s="164"/>
    </row>
    <row r="5" spans="1:11" s="1" customFormat="1">
      <c r="A5" s="5" t="s">
        <v>14</v>
      </c>
      <c r="B5" s="6" t="s">
        <v>15</v>
      </c>
      <c r="C5" s="6" t="s">
        <v>11</v>
      </c>
      <c r="D5" s="5" t="s">
        <v>12</v>
      </c>
      <c r="E5" s="5">
        <v>10</v>
      </c>
      <c r="F5" s="7" t="s">
        <v>13</v>
      </c>
      <c r="G5" s="5" t="str">
        <f>A5</f>
        <v>AA0</v>
      </c>
      <c r="H5" s="168"/>
      <c r="I5" s="164"/>
    </row>
    <row r="6" spans="1:11" s="1" customFormat="1">
      <c r="A6" s="5" t="s">
        <v>16</v>
      </c>
      <c r="B6" s="23" t="s">
        <v>17</v>
      </c>
      <c r="C6" s="44" t="s">
        <v>18</v>
      </c>
      <c r="D6" s="5" t="s">
        <v>12</v>
      </c>
      <c r="E6" s="5">
        <v>5</v>
      </c>
      <c r="F6" s="7" t="s">
        <v>13</v>
      </c>
      <c r="G6" s="5" t="str">
        <f t="shared" ref="G6:G20" si="0">A6</f>
        <v>AA1</v>
      </c>
      <c r="H6" s="168"/>
      <c r="I6" s="164"/>
    </row>
    <row r="7" spans="1:11" s="1" customFormat="1">
      <c r="A7" s="5" t="s">
        <v>19</v>
      </c>
      <c r="B7" s="6" t="s">
        <v>20</v>
      </c>
      <c r="C7" s="44" t="s">
        <v>21</v>
      </c>
      <c r="D7" s="5" t="s">
        <v>12</v>
      </c>
      <c r="E7" s="5">
        <v>5</v>
      </c>
      <c r="F7" s="7" t="s">
        <v>13</v>
      </c>
      <c r="G7" s="5" t="str">
        <f t="shared" si="0"/>
        <v>AA2</v>
      </c>
      <c r="H7" s="168"/>
      <c r="I7" s="164"/>
    </row>
    <row r="8" spans="1:11" s="1" customFormat="1">
      <c r="A8" s="5" t="s">
        <v>22</v>
      </c>
      <c r="B8" s="217" t="s">
        <v>2902</v>
      </c>
      <c r="C8" s="217" t="s">
        <v>2905</v>
      </c>
      <c r="D8" s="5" t="s">
        <v>12</v>
      </c>
      <c r="E8" s="5">
        <v>5</v>
      </c>
      <c r="F8" s="7" t="s">
        <v>13</v>
      </c>
      <c r="G8" s="5" t="str">
        <f t="shared" si="0"/>
        <v>AA3</v>
      </c>
      <c r="H8" s="168"/>
      <c r="I8" s="164"/>
    </row>
    <row r="9" spans="1:11" s="1" customFormat="1">
      <c r="A9" s="5" t="s">
        <v>23</v>
      </c>
      <c r="B9" s="217" t="s">
        <v>2903</v>
      </c>
      <c r="C9" s="217" t="s">
        <v>2906</v>
      </c>
      <c r="D9" s="5" t="s">
        <v>12</v>
      </c>
      <c r="E9" s="5">
        <v>5</v>
      </c>
      <c r="F9" s="7" t="s">
        <v>13</v>
      </c>
      <c r="G9" s="5" t="str">
        <f t="shared" si="0"/>
        <v>AA4</v>
      </c>
      <c r="H9" s="168"/>
      <c r="I9" s="164"/>
    </row>
    <row r="10" spans="1:11" s="1" customFormat="1">
      <c r="A10" s="221" t="s">
        <v>2904</v>
      </c>
      <c r="B10" s="222" t="str">
        <f>A10&amp;". RW"</f>
        <v>AA15. RW</v>
      </c>
      <c r="C10" s="223" t="s">
        <v>11</v>
      </c>
      <c r="D10" s="219" t="s">
        <v>43</v>
      </c>
      <c r="E10" s="219">
        <v>50</v>
      </c>
      <c r="F10" s="224" t="s">
        <v>13</v>
      </c>
      <c r="G10" s="219" t="str">
        <f>A10</f>
        <v>AA15</v>
      </c>
      <c r="H10" s="168"/>
      <c r="I10" s="164"/>
    </row>
    <row r="11" spans="1:11" s="1" customFormat="1">
      <c r="A11" s="5" t="s">
        <v>24</v>
      </c>
      <c r="B11" s="6" t="s">
        <v>25</v>
      </c>
      <c r="C11" s="217" t="s">
        <v>11</v>
      </c>
      <c r="D11" s="219" t="s">
        <v>43</v>
      </c>
      <c r="E11" s="219">
        <v>50</v>
      </c>
      <c r="F11" s="7" t="s">
        <v>13</v>
      </c>
      <c r="G11" s="5" t="str">
        <f t="shared" si="0"/>
        <v>AA5</v>
      </c>
      <c r="H11" s="168"/>
      <c r="I11" s="164"/>
    </row>
    <row r="12" spans="1:11" s="1" customFormat="1">
      <c r="A12" s="5" t="s">
        <v>26</v>
      </c>
      <c r="B12" s="6" t="s">
        <v>27</v>
      </c>
      <c r="C12" s="217" t="s">
        <v>11</v>
      </c>
      <c r="D12" s="219" t="s">
        <v>43</v>
      </c>
      <c r="E12" s="219">
        <v>50</v>
      </c>
      <c r="F12" s="7" t="s">
        <v>13</v>
      </c>
      <c r="G12" s="5" t="str">
        <f t="shared" si="0"/>
        <v>AA6</v>
      </c>
      <c r="H12" s="168"/>
      <c r="I12" s="164"/>
    </row>
    <row r="13" spans="1:11" s="1" customFormat="1" ht="28">
      <c r="A13" s="5" t="s">
        <v>28</v>
      </c>
      <c r="B13" s="6" t="s">
        <v>29</v>
      </c>
      <c r="C13" s="6" t="s">
        <v>30</v>
      </c>
      <c r="D13" s="5" t="s">
        <v>31</v>
      </c>
      <c r="E13" s="5">
        <v>1</v>
      </c>
      <c r="F13" s="7" t="s">
        <v>13</v>
      </c>
      <c r="G13" s="5" t="str">
        <f t="shared" si="0"/>
        <v>AA7</v>
      </c>
      <c r="H13" s="168"/>
      <c r="I13" s="164"/>
    </row>
    <row r="14" spans="1:11" s="1" customFormat="1">
      <c r="A14" s="5" t="s">
        <v>32</v>
      </c>
      <c r="B14" s="6" t="s">
        <v>33</v>
      </c>
      <c r="C14" s="6" t="s">
        <v>11</v>
      </c>
      <c r="D14" s="5" t="s">
        <v>34</v>
      </c>
      <c r="E14" s="5">
        <v>10</v>
      </c>
      <c r="F14" s="7" t="s">
        <v>13</v>
      </c>
      <c r="G14" s="5" t="str">
        <f t="shared" si="0"/>
        <v>AA8</v>
      </c>
      <c r="H14" s="168"/>
      <c r="I14" s="164"/>
    </row>
    <row r="15" spans="1:11" s="1" customFormat="1">
      <c r="A15" s="5" t="s">
        <v>35</v>
      </c>
      <c r="B15" s="6" t="s">
        <v>36</v>
      </c>
      <c r="C15" s="1" t="s">
        <v>11</v>
      </c>
      <c r="D15" s="5" t="s">
        <v>12</v>
      </c>
      <c r="E15" s="5">
        <v>15</v>
      </c>
      <c r="F15" s="7" t="s">
        <v>13</v>
      </c>
      <c r="G15" s="5" t="str">
        <f t="shared" si="0"/>
        <v>AA9</v>
      </c>
      <c r="H15" s="168"/>
      <c r="I15" s="164"/>
    </row>
    <row r="16" spans="1:11" s="1" customFormat="1">
      <c r="A16" s="5" t="s">
        <v>37</v>
      </c>
      <c r="B16" s="6" t="s">
        <v>38</v>
      </c>
      <c r="C16" s="1" t="s">
        <v>11</v>
      </c>
      <c r="D16" s="5" t="s">
        <v>12</v>
      </c>
      <c r="E16" s="5">
        <v>50</v>
      </c>
      <c r="F16" s="7" t="s">
        <v>13</v>
      </c>
      <c r="G16" s="5" t="str">
        <f t="shared" si="0"/>
        <v>AA10</v>
      </c>
      <c r="H16" s="168"/>
      <c r="I16" s="164"/>
    </row>
    <row r="17" spans="1:9" s="1" customFormat="1">
      <c r="A17" s="5" t="s">
        <v>39</v>
      </c>
      <c r="B17" s="6" t="s">
        <v>40</v>
      </c>
      <c r="C17" s="1" t="s">
        <v>11</v>
      </c>
      <c r="D17" s="5" t="s">
        <v>12</v>
      </c>
      <c r="E17" s="5">
        <v>15</v>
      </c>
      <c r="F17" s="7" t="s">
        <v>13</v>
      </c>
      <c r="G17" s="5" t="str">
        <f t="shared" si="0"/>
        <v>AA11</v>
      </c>
      <c r="H17" s="168"/>
      <c r="I17" s="164"/>
    </row>
    <row r="18" spans="1:9" s="1" customFormat="1">
      <c r="A18" s="5" t="s">
        <v>41</v>
      </c>
      <c r="B18" s="6" t="s">
        <v>42</v>
      </c>
      <c r="C18" s="1" t="s">
        <v>11</v>
      </c>
      <c r="D18" s="5" t="s">
        <v>43</v>
      </c>
      <c r="E18" s="5">
        <v>50</v>
      </c>
      <c r="F18" s="7" t="s">
        <v>13</v>
      </c>
      <c r="G18" s="5" t="str">
        <f t="shared" si="0"/>
        <v>AA12</v>
      </c>
      <c r="H18" s="168"/>
      <c r="I18" s="164"/>
    </row>
    <row r="19" spans="1:9" s="1" customFormat="1">
      <c r="A19" s="5" t="s">
        <v>44</v>
      </c>
      <c r="B19" s="6" t="s">
        <v>45</v>
      </c>
      <c r="C19" s="1" t="s">
        <v>11</v>
      </c>
      <c r="D19" s="5" t="s">
        <v>43</v>
      </c>
      <c r="E19" s="22">
        <v>10</v>
      </c>
      <c r="F19" s="7" t="s">
        <v>13</v>
      </c>
      <c r="G19" s="5" t="str">
        <f t="shared" si="0"/>
        <v>AA13</v>
      </c>
      <c r="H19" s="168"/>
      <c r="I19" s="164"/>
    </row>
    <row r="20" spans="1:9" s="1" customFormat="1">
      <c r="A20" s="5" t="s">
        <v>46</v>
      </c>
      <c r="B20" s="6" t="s">
        <v>2907</v>
      </c>
      <c r="C20" s="1" t="s">
        <v>11</v>
      </c>
      <c r="D20" s="5" t="s">
        <v>43</v>
      </c>
      <c r="E20" s="22">
        <v>10</v>
      </c>
      <c r="F20" s="7" t="s">
        <v>13</v>
      </c>
      <c r="G20" s="5" t="str">
        <f t="shared" si="0"/>
        <v>AA14</v>
      </c>
      <c r="H20" s="168"/>
      <c r="I20" s="164"/>
    </row>
    <row r="21" spans="1:9">
      <c r="A21" s="251" t="s">
        <v>47</v>
      </c>
      <c r="B21" s="252"/>
      <c r="C21" s="253"/>
      <c r="D21" s="180"/>
      <c r="E21" s="180"/>
      <c r="F21" s="180"/>
      <c r="G21" s="180"/>
      <c r="H21" s="169"/>
    </row>
    <row r="22" spans="1:9">
      <c r="A22" s="3" t="s">
        <v>2</v>
      </c>
      <c r="B22" s="4" t="s">
        <v>3</v>
      </c>
      <c r="C22" s="4" t="s">
        <v>4</v>
      </c>
      <c r="D22" s="3" t="s">
        <v>5</v>
      </c>
      <c r="E22" s="4" t="s">
        <v>6</v>
      </c>
      <c r="F22" s="4" t="s">
        <v>7</v>
      </c>
      <c r="G22" s="3" t="s">
        <v>8</v>
      </c>
      <c r="H22" s="169"/>
    </row>
    <row r="23" spans="1:9">
      <c r="A23" s="5" t="s">
        <v>48</v>
      </c>
      <c r="B23" s="6" t="s">
        <v>49</v>
      </c>
      <c r="C23" s="1" t="s">
        <v>11</v>
      </c>
      <c r="D23" s="5" t="s">
        <v>43</v>
      </c>
      <c r="E23" s="5">
        <v>50</v>
      </c>
      <c r="F23" s="7" t="s">
        <v>13</v>
      </c>
      <c r="G23" s="5" t="str">
        <f t="shared" ref="G23:G51" si="1">SUBSTITUTE(A23,".","_")</f>
        <v>I_1_ D2</v>
      </c>
      <c r="H23" s="169"/>
    </row>
    <row r="24" spans="1:9">
      <c r="A24" s="5" t="s">
        <v>50</v>
      </c>
      <c r="B24" s="6" t="str">
        <f>A24&amp;". Age of Household Member(in years)"</f>
        <v>I.1. D3. Age of Household Member(in years)</v>
      </c>
      <c r="C24" s="1" t="s">
        <v>11</v>
      </c>
      <c r="D24" s="5" t="s">
        <v>12</v>
      </c>
      <c r="E24" s="5">
        <v>3</v>
      </c>
      <c r="F24" s="7" t="s">
        <v>13</v>
      </c>
      <c r="G24" s="5" t="str">
        <f t="shared" si="1"/>
        <v>I_1_ D3</v>
      </c>
      <c r="H24" s="169"/>
    </row>
    <row r="25" spans="1:9" ht="28">
      <c r="A25" s="5" t="s">
        <v>51</v>
      </c>
      <c r="B25" s="6" t="str">
        <f>A25&amp;". Gender of Household Member"</f>
        <v>I.1. D4. Gender of Household Member</v>
      </c>
      <c r="C25" s="6" t="s">
        <v>52</v>
      </c>
      <c r="D25" s="5" t="s">
        <v>31</v>
      </c>
      <c r="E25" s="5">
        <v>1</v>
      </c>
      <c r="F25" s="7" t="s">
        <v>13</v>
      </c>
      <c r="G25" s="5" t="str">
        <f t="shared" si="1"/>
        <v>I_1_ D4</v>
      </c>
      <c r="H25" s="169"/>
    </row>
    <row r="26" spans="1:9">
      <c r="A26" s="5" t="s">
        <v>53</v>
      </c>
      <c r="B26" s="6" t="s">
        <v>49</v>
      </c>
      <c r="C26" s="1" t="s">
        <v>11</v>
      </c>
      <c r="D26" s="5" t="s">
        <v>43</v>
      </c>
      <c r="E26" s="5">
        <v>50</v>
      </c>
      <c r="F26" s="7" t="s">
        <v>13</v>
      </c>
      <c r="G26" s="5" t="str">
        <f t="shared" si="1"/>
        <v>I_2_ D2</v>
      </c>
      <c r="H26" s="169"/>
    </row>
    <row r="27" spans="1:9" s="162" customFormat="1">
      <c r="A27" s="76" t="s">
        <v>54</v>
      </c>
      <c r="B27" s="155" t="str">
        <f>A27&amp;". Age of Household Member(in years)"</f>
        <v>I.2. D3. Age of Household Member(in years)</v>
      </c>
      <c r="C27" s="159" t="s">
        <v>11</v>
      </c>
      <c r="D27" s="76" t="s">
        <v>12</v>
      </c>
      <c r="E27" s="76">
        <v>3</v>
      </c>
      <c r="F27" s="156" t="s">
        <v>13</v>
      </c>
      <c r="G27" s="76" t="str">
        <f t="shared" si="1"/>
        <v>I_2_ D3</v>
      </c>
      <c r="H27" s="169"/>
      <c r="I27" s="163"/>
    </row>
    <row r="28" spans="1:9" s="162" customFormat="1" ht="28">
      <c r="A28" s="76" t="s">
        <v>55</v>
      </c>
      <c r="B28" s="155" t="str">
        <f>A28&amp;". Gender of Household Member"</f>
        <v>I.2. D4. Gender of Household Member</v>
      </c>
      <c r="C28" s="155" t="s">
        <v>52</v>
      </c>
      <c r="D28" s="76" t="s">
        <v>31</v>
      </c>
      <c r="E28" s="76">
        <v>1</v>
      </c>
      <c r="F28" s="156" t="s">
        <v>13</v>
      </c>
      <c r="G28" s="76" t="str">
        <f t="shared" si="1"/>
        <v>I_2_ D4</v>
      </c>
      <c r="H28" s="169"/>
      <c r="I28" s="163"/>
    </row>
    <row r="29" spans="1:9" s="162" customFormat="1">
      <c r="A29" s="76" t="s">
        <v>56</v>
      </c>
      <c r="B29" s="155" t="s">
        <v>49</v>
      </c>
      <c r="C29" s="159" t="s">
        <v>11</v>
      </c>
      <c r="D29" s="76" t="s">
        <v>43</v>
      </c>
      <c r="E29" s="76">
        <v>50</v>
      </c>
      <c r="F29" s="156" t="s">
        <v>13</v>
      </c>
      <c r="G29" s="76" t="str">
        <f t="shared" si="1"/>
        <v>I_3_ D2</v>
      </c>
      <c r="H29" s="169"/>
      <c r="I29" s="163"/>
    </row>
    <row r="30" spans="1:9" s="162" customFormat="1">
      <c r="A30" s="76" t="s">
        <v>57</v>
      </c>
      <c r="B30" s="155" t="str">
        <f>A30&amp;". Age of Household Member(in years)"</f>
        <v>I.3. D3. Age of Household Member(in years)</v>
      </c>
      <c r="C30" s="159" t="s">
        <v>11</v>
      </c>
      <c r="D30" s="76" t="s">
        <v>12</v>
      </c>
      <c r="E30" s="76">
        <v>3</v>
      </c>
      <c r="F30" s="156" t="s">
        <v>13</v>
      </c>
      <c r="G30" s="76" t="str">
        <f t="shared" si="1"/>
        <v>I_3_ D3</v>
      </c>
      <c r="H30" s="169"/>
      <c r="I30" s="163"/>
    </row>
    <row r="31" spans="1:9" s="162" customFormat="1" ht="28">
      <c r="A31" s="76" t="s">
        <v>58</v>
      </c>
      <c r="B31" s="155" t="str">
        <f>A31&amp;". Gender of Household Member"</f>
        <v>I.3. D4. Gender of Household Member</v>
      </c>
      <c r="C31" s="155" t="s">
        <v>52</v>
      </c>
      <c r="D31" s="76" t="s">
        <v>31</v>
      </c>
      <c r="E31" s="76">
        <v>1</v>
      </c>
      <c r="F31" s="156" t="s">
        <v>13</v>
      </c>
      <c r="G31" s="76" t="str">
        <f t="shared" si="1"/>
        <v>I_3_ D4</v>
      </c>
      <c r="H31" s="169"/>
      <c r="I31" s="163"/>
    </row>
    <row r="32" spans="1:9" s="162" customFormat="1">
      <c r="A32" s="76" t="s">
        <v>59</v>
      </c>
      <c r="B32" s="155" t="s">
        <v>49</v>
      </c>
      <c r="C32" s="159" t="s">
        <v>11</v>
      </c>
      <c r="D32" s="76" t="s">
        <v>43</v>
      </c>
      <c r="E32" s="76">
        <v>50</v>
      </c>
      <c r="F32" s="156" t="s">
        <v>13</v>
      </c>
      <c r="G32" s="76" t="str">
        <f t="shared" si="1"/>
        <v>I_4_ D2</v>
      </c>
      <c r="H32" s="169"/>
      <c r="I32" s="163"/>
    </row>
    <row r="33" spans="1:9" s="162" customFormat="1">
      <c r="A33" s="76" t="s">
        <v>60</v>
      </c>
      <c r="B33" s="155" t="str">
        <f>A33&amp;". Age of Household Member(in years)"</f>
        <v>I.4. D3. Age of Household Member(in years)</v>
      </c>
      <c r="C33" s="159" t="s">
        <v>11</v>
      </c>
      <c r="D33" s="76" t="s">
        <v>12</v>
      </c>
      <c r="E33" s="76">
        <v>3</v>
      </c>
      <c r="F33" s="156" t="s">
        <v>13</v>
      </c>
      <c r="G33" s="76" t="str">
        <f t="shared" si="1"/>
        <v>I_4_ D3</v>
      </c>
      <c r="H33" s="169"/>
      <c r="I33" s="163"/>
    </row>
    <row r="34" spans="1:9" s="162" customFormat="1" ht="28">
      <c r="A34" s="76" t="s">
        <v>61</v>
      </c>
      <c r="B34" s="155" t="str">
        <f>A34&amp;". Gender of Household Member"</f>
        <v>I.4. D4. Gender of Household Member</v>
      </c>
      <c r="C34" s="155" t="s">
        <v>52</v>
      </c>
      <c r="D34" s="76" t="s">
        <v>31</v>
      </c>
      <c r="E34" s="76">
        <v>1</v>
      </c>
      <c r="F34" s="156" t="s">
        <v>13</v>
      </c>
      <c r="G34" s="76" t="str">
        <f t="shared" si="1"/>
        <v>I_4_ D4</v>
      </c>
      <c r="H34" s="169"/>
      <c r="I34" s="163"/>
    </row>
    <row r="35" spans="1:9" s="162" customFormat="1">
      <c r="A35" s="76" t="s">
        <v>62</v>
      </c>
      <c r="B35" s="155" t="s">
        <v>49</v>
      </c>
      <c r="C35" s="159" t="s">
        <v>11</v>
      </c>
      <c r="D35" s="76" t="s">
        <v>43</v>
      </c>
      <c r="E35" s="76">
        <v>50</v>
      </c>
      <c r="F35" s="156" t="s">
        <v>13</v>
      </c>
      <c r="G35" s="76" t="str">
        <f t="shared" si="1"/>
        <v>I_5_ D2</v>
      </c>
      <c r="H35" s="169"/>
      <c r="I35" s="163"/>
    </row>
    <row r="36" spans="1:9" s="162" customFormat="1">
      <c r="A36" s="76" t="s">
        <v>63</v>
      </c>
      <c r="B36" s="155" t="str">
        <f>A36&amp;". Age of Household Member(in years)"</f>
        <v>I.5. D3. Age of Household Member(in years)</v>
      </c>
      <c r="C36" s="159" t="s">
        <v>11</v>
      </c>
      <c r="D36" s="76" t="s">
        <v>12</v>
      </c>
      <c r="E36" s="76">
        <v>3</v>
      </c>
      <c r="F36" s="156" t="s">
        <v>13</v>
      </c>
      <c r="G36" s="76" t="str">
        <f t="shared" si="1"/>
        <v>I_5_ D3</v>
      </c>
      <c r="H36" s="169"/>
      <c r="I36" s="163"/>
    </row>
    <row r="37" spans="1:9" s="162" customFormat="1" ht="28">
      <c r="A37" s="76" t="s">
        <v>64</v>
      </c>
      <c r="B37" s="155" t="str">
        <f>A37&amp;". Gender of Household Member"</f>
        <v>I.5. D4. Gender of Household Member</v>
      </c>
      <c r="C37" s="155" t="s">
        <v>52</v>
      </c>
      <c r="D37" s="76" t="s">
        <v>31</v>
      </c>
      <c r="E37" s="76">
        <v>1</v>
      </c>
      <c r="F37" s="156" t="s">
        <v>13</v>
      </c>
      <c r="G37" s="76" t="str">
        <f t="shared" si="1"/>
        <v>I_5_ D4</v>
      </c>
      <c r="H37" s="169"/>
      <c r="I37" s="163"/>
    </row>
    <row r="38" spans="1:9" s="162" customFormat="1">
      <c r="A38" s="76" t="s">
        <v>65</v>
      </c>
      <c r="B38" s="155" t="s">
        <v>49</v>
      </c>
      <c r="C38" s="159" t="s">
        <v>11</v>
      </c>
      <c r="D38" s="76" t="s">
        <v>43</v>
      </c>
      <c r="E38" s="76">
        <v>50</v>
      </c>
      <c r="F38" s="156" t="s">
        <v>13</v>
      </c>
      <c r="G38" s="76" t="str">
        <f t="shared" si="1"/>
        <v>I_6_ D2</v>
      </c>
      <c r="H38" s="169"/>
      <c r="I38" s="163"/>
    </row>
    <row r="39" spans="1:9" s="162" customFormat="1">
      <c r="A39" s="76" t="s">
        <v>66</v>
      </c>
      <c r="B39" s="155" t="str">
        <f>A39&amp;". Age of Household Member(in years)"</f>
        <v>I.6. D3. Age of Household Member(in years)</v>
      </c>
      <c r="C39" s="159" t="s">
        <v>11</v>
      </c>
      <c r="D39" s="76" t="s">
        <v>12</v>
      </c>
      <c r="E39" s="76">
        <v>3</v>
      </c>
      <c r="F39" s="156" t="s">
        <v>13</v>
      </c>
      <c r="G39" s="76" t="str">
        <f t="shared" si="1"/>
        <v>I_6_ D3</v>
      </c>
      <c r="H39" s="169"/>
      <c r="I39" s="163"/>
    </row>
    <row r="40" spans="1:9" s="162" customFormat="1" ht="28">
      <c r="A40" s="76" t="s">
        <v>67</v>
      </c>
      <c r="B40" s="155" t="str">
        <f>A40&amp;". Gender of Household Member"</f>
        <v>I.6. D4. Gender of Household Member</v>
      </c>
      <c r="C40" s="155" t="s">
        <v>52</v>
      </c>
      <c r="D40" s="76" t="s">
        <v>31</v>
      </c>
      <c r="E40" s="76">
        <v>1</v>
      </c>
      <c r="F40" s="156" t="s">
        <v>13</v>
      </c>
      <c r="G40" s="76" t="str">
        <f t="shared" si="1"/>
        <v>I_6_ D4</v>
      </c>
      <c r="H40" s="169"/>
      <c r="I40" s="163"/>
    </row>
    <row r="41" spans="1:9" s="162" customFormat="1">
      <c r="A41" s="76" t="s">
        <v>68</v>
      </c>
      <c r="B41" s="155" t="s">
        <v>49</v>
      </c>
      <c r="C41" s="159" t="s">
        <v>11</v>
      </c>
      <c r="D41" s="76" t="s">
        <v>43</v>
      </c>
      <c r="E41" s="76">
        <v>50</v>
      </c>
      <c r="F41" s="156" t="s">
        <v>13</v>
      </c>
      <c r="G41" s="76" t="str">
        <f t="shared" si="1"/>
        <v>I_7_ D2</v>
      </c>
      <c r="H41" s="169"/>
      <c r="I41" s="163"/>
    </row>
    <row r="42" spans="1:9" s="162" customFormat="1">
      <c r="A42" s="76" t="s">
        <v>69</v>
      </c>
      <c r="B42" s="155" t="str">
        <f>A42&amp;". Age of Household Member(in years)"</f>
        <v>I.7. D3. Age of Household Member(in years)</v>
      </c>
      <c r="C42" s="159" t="s">
        <v>11</v>
      </c>
      <c r="D42" s="76" t="s">
        <v>12</v>
      </c>
      <c r="E42" s="76">
        <v>3</v>
      </c>
      <c r="F42" s="156" t="s">
        <v>13</v>
      </c>
      <c r="G42" s="76" t="str">
        <f t="shared" si="1"/>
        <v>I_7_ D3</v>
      </c>
      <c r="H42" s="169"/>
      <c r="I42" s="163"/>
    </row>
    <row r="43" spans="1:9" ht="28">
      <c r="A43" s="5" t="s">
        <v>70</v>
      </c>
      <c r="B43" s="6" t="str">
        <f>A43&amp;". Gender of Household Member"</f>
        <v>I.7. D4. Gender of Household Member</v>
      </c>
      <c r="C43" s="6" t="s">
        <v>52</v>
      </c>
      <c r="D43" s="5" t="s">
        <v>31</v>
      </c>
      <c r="E43" s="5">
        <v>1</v>
      </c>
      <c r="F43" s="7" t="s">
        <v>13</v>
      </c>
      <c r="G43" s="5" t="str">
        <f t="shared" si="1"/>
        <v>I_7_ D4</v>
      </c>
      <c r="H43" s="169"/>
    </row>
    <row r="44" spans="1:9">
      <c r="A44" s="5" t="s">
        <v>71</v>
      </c>
      <c r="B44" s="6" t="s">
        <v>49</v>
      </c>
      <c r="C44" s="1" t="s">
        <v>11</v>
      </c>
      <c r="D44" s="5" t="s">
        <v>43</v>
      </c>
      <c r="E44" s="5">
        <v>50</v>
      </c>
      <c r="F44" s="7" t="s">
        <v>13</v>
      </c>
      <c r="G44" s="5" t="str">
        <f t="shared" si="1"/>
        <v>I_8_ D2</v>
      </c>
      <c r="H44" s="169"/>
    </row>
    <row r="45" spans="1:9">
      <c r="A45" s="5" t="s">
        <v>72</v>
      </c>
      <c r="B45" s="6" t="str">
        <f>A45&amp;". Age of Household Member(in years)"</f>
        <v>I.8. D3. Age of Household Member(in years)</v>
      </c>
      <c r="C45" s="1" t="s">
        <v>11</v>
      </c>
      <c r="D45" s="5" t="s">
        <v>12</v>
      </c>
      <c r="E45" s="5">
        <v>3</v>
      </c>
      <c r="F45" s="7" t="s">
        <v>13</v>
      </c>
      <c r="G45" s="5" t="str">
        <f t="shared" si="1"/>
        <v>I_8_ D3</v>
      </c>
      <c r="H45" s="169"/>
    </row>
    <row r="46" spans="1:9" ht="28">
      <c r="A46" s="5" t="s">
        <v>73</v>
      </c>
      <c r="B46" s="6" t="str">
        <f>A46&amp;". Gender of Household Member"</f>
        <v>I.8. D4. Gender of Household Member</v>
      </c>
      <c r="C46" s="6" t="s">
        <v>52</v>
      </c>
      <c r="D46" s="5" t="s">
        <v>31</v>
      </c>
      <c r="E46" s="5">
        <v>1</v>
      </c>
      <c r="F46" s="7" t="s">
        <v>13</v>
      </c>
      <c r="G46" s="5" t="str">
        <f t="shared" si="1"/>
        <v>I_8_ D4</v>
      </c>
      <c r="H46" s="169"/>
    </row>
    <row r="47" spans="1:9">
      <c r="A47" s="5" t="s">
        <v>74</v>
      </c>
      <c r="B47" s="6" t="s">
        <v>49</v>
      </c>
      <c r="C47" s="1" t="s">
        <v>11</v>
      </c>
      <c r="D47" s="5" t="s">
        <v>43</v>
      </c>
      <c r="E47" s="5">
        <v>50</v>
      </c>
      <c r="F47" s="7" t="s">
        <v>13</v>
      </c>
      <c r="G47" s="5" t="str">
        <f t="shared" si="1"/>
        <v>I_9_ D2</v>
      </c>
      <c r="H47" s="169"/>
    </row>
    <row r="48" spans="1:9">
      <c r="A48" s="5" t="s">
        <v>75</v>
      </c>
      <c r="B48" s="6" t="str">
        <f>A48&amp;". Age of Household Member(in years)"</f>
        <v>I.9. D3. Age of Household Member(in years)</v>
      </c>
      <c r="C48" s="1" t="s">
        <v>11</v>
      </c>
      <c r="D48" s="5" t="s">
        <v>12</v>
      </c>
      <c r="E48" s="5">
        <v>3</v>
      </c>
      <c r="F48" s="7" t="s">
        <v>13</v>
      </c>
      <c r="G48" s="5" t="str">
        <f t="shared" si="1"/>
        <v>I_9_ D3</v>
      </c>
      <c r="H48" s="169"/>
    </row>
    <row r="49" spans="1:9" ht="28">
      <c r="A49" s="5" t="s">
        <v>76</v>
      </c>
      <c r="B49" s="6" t="str">
        <f>A49&amp;". Gender of Household Member"</f>
        <v>I.9. D4. Gender of Household Member</v>
      </c>
      <c r="C49" s="6" t="s">
        <v>52</v>
      </c>
      <c r="D49" s="5" t="s">
        <v>31</v>
      </c>
      <c r="E49" s="5">
        <v>1</v>
      </c>
      <c r="F49" s="7" t="s">
        <v>13</v>
      </c>
      <c r="G49" s="5" t="str">
        <f t="shared" si="1"/>
        <v>I_9_ D4</v>
      </c>
      <c r="H49" s="169"/>
    </row>
    <row r="50" spans="1:9">
      <c r="A50" s="5" t="s">
        <v>77</v>
      </c>
      <c r="B50" s="6" t="s">
        <v>49</v>
      </c>
      <c r="C50" s="1" t="s">
        <v>11</v>
      </c>
      <c r="D50" s="5" t="s">
        <v>43</v>
      </c>
      <c r="E50" s="5">
        <v>50</v>
      </c>
      <c r="F50" s="7" t="s">
        <v>13</v>
      </c>
      <c r="G50" s="5" t="str">
        <f t="shared" si="1"/>
        <v>I_10_ D2</v>
      </c>
      <c r="H50" s="169"/>
    </row>
    <row r="51" spans="1:9">
      <c r="A51" s="5" t="s">
        <v>78</v>
      </c>
      <c r="B51" s="6" t="str">
        <f>A51&amp;". Age of Household Member(in years)"</f>
        <v>I.10. D3. Age of Household Member(in years)</v>
      </c>
      <c r="C51" s="1" t="s">
        <v>11</v>
      </c>
      <c r="D51" s="5" t="s">
        <v>12</v>
      </c>
      <c r="E51" s="5">
        <v>3</v>
      </c>
      <c r="F51" s="7" t="s">
        <v>13</v>
      </c>
      <c r="G51" s="5" t="str">
        <f t="shared" si="1"/>
        <v>I_10_ D3</v>
      </c>
      <c r="H51" s="169"/>
    </row>
    <row r="52" spans="1:9" ht="28">
      <c r="A52" s="5" t="s">
        <v>79</v>
      </c>
      <c r="B52" s="6" t="str">
        <f>A52&amp;". Gender of Household Member"</f>
        <v>I.10. D4. Gender of Household Member</v>
      </c>
      <c r="C52" s="6" t="s">
        <v>52</v>
      </c>
      <c r="D52" s="5" t="s">
        <v>31</v>
      </c>
      <c r="E52" s="5">
        <v>1</v>
      </c>
      <c r="F52" s="7" t="s">
        <v>13</v>
      </c>
      <c r="G52" s="5" t="str">
        <f>SUBSTITUTE(A52,".","_")</f>
        <v>I_10_ D4</v>
      </c>
      <c r="H52" s="169"/>
    </row>
    <row r="53" spans="1:9">
      <c r="A53" s="235" t="s">
        <v>80</v>
      </c>
      <c r="B53" s="236"/>
      <c r="C53" s="236"/>
      <c r="D53" s="236"/>
      <c r="E53" s="236"/>
      <c r="F53" s="236"/>
      <c r="G53" s="237"/>
      <c r="H53" s="169"/>
    </row>
    <row r="54" spans="1:9">
      <c r="A54" s="3" t="s">
        <v>2</v>
      </c>
      <c r="B54" s="4" t="s">
        <v>3</v>
      </c>
      <c r="C54" s="4" t="s">
        <v>4</v>
      </c>
      <c r="D54" s="3" t="s">
        <v>5</v>
      </c>
      <c r="E54" s="4" t="s">
        <v>6</v>
      </c>
      <c r="F54" s="4" t="s">
        <v>7</v>
      </c>
      <c r="G54" s="3" t="s">
        <v>8</v>
      </c>
      <c r="H54" s="169"/>
    </row>
    <row r="55" spans="1:9">
      <c r="A55" s="5" t="s">
        <v>81</v>
      </c>
      <c r="B55" s="6" t="s">
        <v>82</v>
      </c>
      <c r="C55" s="23" t="s">
        <v>83</v>
      </c>
      <c r="D55" s="5" t="s">
        <v>12</v>
      </c>
      <c r="E55" s="5">
        <v>4</v>
      </c>
      <c r="F55" s="7" t="s">
        <v>13</v>
      </c>
      <c r="G55" s="5" t="str">
        <f>SUBSTITUTE(A55,".","_")</f>
        <v>DG1</v>
      </c>
      <c r="H55" s="169"/>
    </row>
    <row r="56" spans="1:9" ht="28">
      <c r="A56" s="5" t="s">
        <v>84</v>
      </c>
      <c r="B56" s="6" t="s">
        <v>85</v>
      </c>
      <c r="C56" s="6" t="s">
        <v>86</v>
      </c>
      <c r="D56" s="5" t="s">
        <v>31</v>
      </c>
      <c r="E56" s="5">
        <v>1</v>
      </c>
      <c r="F56" s="7" t="s">
        <v>13</v>
      </c>
      <c r="G56" s="5" t="str">
        <f>SUBSTITUTE(A56,".","_")</f>
        <v>DG2</v>
      </c>
      <c r="H56" s="169"/>
    </row>
    <row r="57" spans="1:9" ht="28">
      <c r="A57" s="5" t="s">
        <v>87</v>
      </c>
      <c r="B57" s="6" t="s">
        <v>88</v>
      </c>
      <c r="C57" s="155" t="s">
        <v>89</v>
      </c>
      <c r="D57" s="5" t="s">
        <v>31</v>
      </c>
      <c r="E57" s="5">
        <v>2</v>
      </c>
      <c r="F57" s="7" t="s">
        <v>13</v>
      </c>
      <c r="G57" s="5" t="str">
        <f>SUBSTITUTE(A57,".","_")</f>
        <v>DG3</v>
      </c>
      <c r="H57" s="185"/>
    </row>
    <row r="58" spans="1:9" ht="15">
      <c r="A58" s="5" t="s">
        <v>90</v>
      </c>
      <c r="B58" s="6" t="s">
        <v>91</v>
      </c>
      <c r="C58" s="48" t="s">
        <v>92</v>
      </c>
      <c r="D58" s="5" t="s">
        <v>31</v>
      </c>
      <c r="E58" s="5">
        <v>2</v>
      </c>
      <c r="F58" s="7" t="s">
        <v>13</v>
      </c>
      <c r="G58" s="5" t="str">
        <f>SUBSTITUTE(A58,".","_")</f>
        <v>DG4</v>
      </c>
      <c r="H58" s="169"/>
    </row>
    <row r="59" spans="1:9" s="8" customFormat="1">
      <c r="A59" s="235" t="s">
        <v>93</v>
      </c>
      <c r="B59" s="236"/>
      <c r="C59" s="237"/>
      <c r="D59" s="49"/>
      <c r="E59" s="49"/>
      <c r="F59" s="49"/>
      <c r="G59" s="49"/>
      <c r="H59" s="171"/>
      <c r="I59" s="165"/>
    </row>
    <row r="60" spans="1:9" s="1" customFormat="1" ht="13">
      <c r="A60" s="3" t="s">
        <v>2</v>
      </c>
      <c r="B60" s="4" t="s">
        <v>3</v>
      </c>
      <c r="C60" s="4" t="s">
        <v>4</v>
      </c>
      <c r="D60" s="3" t="s">
        <v>5</v>
      </c>
      <c r="E60" s="4" t="s">
        <v>6</v>
      </c>
      <c r="F60" s="4" t="s">
        <v>7</v>
      </c>
      <c r="G60" s="3" t="s">
        <v>8</v>
      </c>
      <c r="H60" s="168"/>
      <c r="I60" s="164"/>
    </row>
    <row r="61" spans="1:9" s="1" customFormat="1" ht="28">
      <c r="A61" s="5" t="s">
        <v>94</v>
      </c>
      <c r="B61" s="6" t="str">
        <f>A61&amp;". Do you have any of the following types of official identification? "&amp;Other!A2</f>
        <v>DG5.1. Do you have any of the following types of official identification? Kartu Tanda Penduduk (KTP/KITAS/KITAP)</v>
      </c>
      <c r="C61" s="6" t="s">
        <v>95</v>
      </c>
      <c r="D61" s="5" t="s">
        <v>31</v>
      </c>
      <c r="E61" s="5">
        <v>1</v>
      </c>
      <c r="F61" s="160" t="s">
        <v>13</v>
      </c>
      <c r="G61" s="161" t="str">
        <f t="shared" ref="G61:G66" si="2">SUBSTITUTE(A61,".","_")</f>
        <v>DG5_1</v>
      </c>
      <c r="H61" s="170"/>
      <c r="I61" s="164"/>
    </row>
    <row r="62" spans="1:9" s="1" customFormat="1" ht="28">
      <c r="A62" s="5" t="s">
        <v>96</v>
      </c>
      <c r="B62" s="6" t="str">
        <f>A62&amp;". Do you have any of the following types of official identification? "&amp;Other!A3</f>
        <v>DG5.2. Do you have any of the following types of official identification? Family registration card</v>
      </c>
      <c r="C62" s="6" t="s">
        <v>95</v>
      </c>
      <c r="D62" s="5" t="s">
        <v>31</v>
      </c>
      <c r="E62" s="5">
        <v>1</v>
      </c>
      <c r="F62" s="160" t="s">
        <v>13</v>
      </c>
      <c r="G62" s="161" t="str">
        <f t="shared" si="2"/>
        <v>DG5_2</v>
      </c>
      <c r="H62" s="170"/>
      <c r="I62" s="164"/>
    </row>
    <row r="63" spans="1:9" s="1" customFormat="1" ht="28">
      <c r="A63" s="5" t="s">
        <v>97</v>
      </c>
      <c r="B63" s="6" t="str">
        <f>A63&amp;". Do you have any of the following types of official identification? "&amp;Other!A4</f>
        <v>DG5.3. Do you have any of the following types of official identification? Passport</v>
      </c>
      <c r="C63" s="6" t="s">
        <v>95</v>
      </c>
      <c r="D63" s="5" t="s">
        <v>31</v>
      </c>
      <c r="E63" s="5">
        <v>1</v>
      </c>
      <c r="F63" s="160" t="s">
        <v>13</v>
      </c>
      <c r="G63" s="161" t="str">
        <f t="shared" si="2"/>
        <v>DG5_3</v>
      </c>
      <c r="H63" s="170"/>
      <c r="I63" s="164"/>
    </row>
    <row r="64" spans="1:9" s="1" customFormat="1" ht="28">
      <c r="A64" s="5" t="s">
        <v>98</v>
      </c>
      <c r="B64" s="6" t="str">
        <f>A64&amp;". Do you have any of the following types of official identification? "&amp;Other!A5</f>
        <v>DG5.4. Do you have any of the following types of official identification? School-issued ID</v>
      </c>
      <c r="C64" s="6" t="s">
        <v>95</v>
      </c>
      <c r="D64" s="5" t="s">
        <v>31</v>
      </c>
      <c r="E64" s="5">
        <v>1</v>
      </c>
      <c r="F64" s="160" t="s">
        <v>13</v>
      </c>
      <c r="G64" s="161" t="str">
        <f t="shared" si="2"/>
        <v>DG5_4</v>
      </c>
      <c r="H64" s="170"/>
      <c r="I64" s="164"/>
    </row>
    <row r="65" spans="1:9" s="1" customFormat="1" ht="28">
      <c r="A65" s="5" t="s">
        <v>99</v>
      </c>
      <c r="B65" s="6" t="str">
        <f>A65&amp;". Do you have any of the following types of official identification? "&amp;Other!A6</f>
        <v>DG5.5. Do you have any of the following types of official identification? Tax Card</v>
      </c>
      <c r="C65" s="6" t="s">
        <v>95</v>
      </c>
      <c r="D65" s="5" t="s">
        <v>31</v>
      </c>
      <c r="E65" s="5">
        <v>1</v>
      </c>
      <c r="F65" s="160" t="s">
        <v>13</v>
      </c>
      <c r="G65" s="161" t="str">
        <f t="shared" si="2"/>
        <v>DG5_5</v>
      </c>
      <c r="H65" s="170"/>
      <c r="I65" s="164"/>
    </row>
    <row r="66" spans="1:9" s="1" customFormat="1" ht="28">
      <c r="A66" s="5" t="s">
        <v>100</v>
      </c>
      <c r="B66" s="6" t="str">
        <f>A66&amp;". Do you have any of the following types of official identification? "&amp;Other!A7</f>
        <v>DG5.6. Do you have any of the following types of official identification? SIM (Driving license)</v>
      </c>
      <c r="C66" s="6" t="s">
        <v>95</v>
      </c>
      <c r="D66" s="5" t="s">
        <v>31</v>
      </c>
      <c r="E66" s="5">
        <v>1</v>
      </c>
      <c r="F66" s="160" t="s">
        <v>13</v>
      </c>
      <c r="G66" s="161" t="str">
        <f t="shared" si="2"/>
        <v>DG5_6</v>
      </c>
      <c r="H66" s="170"/>
      <c r="I66" s="164"/>
    </row>
    <row r="67" spans="1:9" s="8" customFormat="1">
      <c r="A67" s="254" t="s">
        <v>101</v>
      </c>
      <c r="B67" s="255"/>
      <c r="C67" s="255"/>
      <c r="D67" s="255"/>
      <c r="E67" s="255"/>
      <c r="F67" s="255"/>
      <c r="G67" s="256"/>
      <c r="H67" s="171"/>
      <c r="I67" s="165"/>
    </row>
    <row r="68" spans="1:9" s="1" customFormat="1" ht="13">
      <c r="A68" s="3" t="s">
        <v>2</v>
      </c>
      <c r="B68" s="4" t="s">
        <v>3</v>
      </c>
      <c r="C68" s="4" t="s">
        <v>4</v>
      </c>
      <c r="D68" s="3" t="s">
        <v>5</v>
      </c>
      <c r="E68" s="4" t="s">
        <v>6</v>
      </c>
      <c r="F68" s="4" t="s">
        <v>7</v>
      </c>
      <c r="G68" s="3" t="s">
        <v>8</v>
      </c>
      <c r="H68" s="168"/>
      <c r="I68" s="164"/>
    </row>
    <row r="69" spans="1:9" ht="140">
      <c r="A69" s="5" t="s">
        <v>102</v>
      </c>
      <c r="B69" s="7" t="s">
        <v>103</v>
      </c>
      <c r="C69" s="155" t="s">
        <v>104</v>
      </c>
      <c r="D69" s="22" t="s">
        <v>31</v>
      </c>
      <c r="E69" s="5">
        <v>2</v>
      </c>
      <c r="F69" s="7" t="s">
        <v>13</v>
      </c>
      <c r="G69" s="5" t="str">
        <f t="shared" ref="G69:G86" si="3">SUBSTITUTE(A69,".","_")</f>
        <v>DG6</v>
      </c>
      <c r="H69" s="169"/>
    </row>
    <row r="70" spans="1:9" s="10" customFormat="1" ht="98">
      <c r="A70" s="5" t="s">
        <v>105</v>
      </c>
      <c r="B70" s="6" t="str">
        <f>A70&amp;". In your best estimate, how much is your contribution to the household income each month?"</f>
        <v>DL0. In your best estimate, how much is your contribution to the household income each month?</v>
      </c>
      <c r="C70" s="6" t="s">
        <v>106</v>
      </c>
      <c r="D70" s="22" t="s">
        <v>31</v>
      </c>
      <c r="E70" s="9">
        <v>2</v>
      </c>
      <c r="F70" s="55" t="s">
        <v>13</v>
      </c>
      <c r="G70" s="9" t="str">
        <f t="shared" si="3"/>
        <v>DL0</v>
      </c>
      <c r="H70" s="186"/>
      <c r="I70" s="187"/>
    </row>
    <row r="71" spans="1:9" ht="15">
      <c r="A71" s="5" t="s">
        <v>107</v>
      </c>
      <c r="B71" s="6" t="s">
        <v>108</v>
      </c>
      <c r="C71" s="48" t="s">
        <v>109</v>
      </c>
      <c r="D71" s="5" t="s">
        <v>31</v>
      </c>
      <c r="E71" s="5">
        <v>2</v>
      </c>
      <c r="F71" s="7" t="s">
        <v>13</v>
      </c>
      <c r="G71" s="5" t="str">
        <f t="shared" si="3"/>
        <v>DL1</v>
      </c>
      <c r="H71" s="169"/>
    </row>
    <row r="72" spans="1:9">
      <c r="A72" s="5" t="s">
        <v>110</v>
      </c>
      <c r="B72" s="6" t="s">
        <v>111</v>
      </c>
      <c r="C72" s="57" t="s">
        <v>112</v>
      </c>
      <c r="D72" s="5" t="s">
        <v>31</v>
      </c>
      <c r="E72" s="5">
        <v>2</v>
      </c>
      <c r="F72" s="7" t="s">
        <v>113</v>
      </c>
      <c r="G72" s="5" t="str">
        <f t="shared" si="3"/>
        <v>DL2</v>
      </c>
      <c r="H72" s="169"/>
    </row>
    <row r="73" spans="1:9" ht="28">
      <c r="A73" s="5" t="s">
        <v>114</v>
      </c>
      <c r="B73" s="6" t="str">
        <f>A73&amp;". Please tell me in which of the following ways you got money in the past 12 months? "&amp;Other!B2</f>
        <v>DL4.1. Please tell me in which of the following ways you got money in the past 12 months? Sold fish or fishing products, supplies, or equipment</v>
      </c>
      <c r="C73" s="6" t="s">
        <v>95</v>
      </c>
      <c r="D73" s="5" t="s">
        <v>31</v>
      </c>
      <c r="E73" s="5">
        <v>1</v>
      </c>
      <c r="F73" s="7" t="s">
        <v>13</v>
      </c>
      <c r="G73" s="5" t="str">
        <f t="shared" si="3"/>
        <v>DL4_1</v>
      </c>
      <c r="H73" s="169"/>
    </row>
    <row r="74" spans="1:9" ht="28">
      <c r="A74" s="5" t="s">
        <v>115</v>
      </c>
      <c r="B74" s="6" t="str">
        <f>A74&amp;". Please tell me in which of the following ways you got money in the past 12 months? "&amp;Other!B3</f>
        <v>DL4.2. Please tell me in which of the following ways you got money in the past 12 months? Sold products of agriculture or reared livestock</v>
      </c>
      <c r="C74" s="6" t="s">
        <v>95</v>
      </c>
      <c r="D74" s="5" t="s">
        <v>31</v>
      </c>
      <c r="E74" s="5">
        <v>1</v>
      </c>
      <c r="F74" s="7" t="s">
        <v>13</v>
      </c>
      <c r="G74" s="5" t="str">
        <f t="shared" si="3"/>
        <v>DL4_2</v>
      </c>
      <c r="H74" s="169"/>
    </row>
    <row r="75" spans="1:9" ht="28">
      <c r="A75" s="5" t="s">
        <v>116</v>
      </c>
      <c r="B75" s="6" t="str">
        <f>A75&amp;". Please tell me in which of the following ways you got money in the past 12 months? "&amp;Other!B4</f>
        <v xml:space="preserve">DL4.3. Please tell me in which of the following ways you got money in the past 12 months? Received assistance from the government </v>
      </c>
      <c r="C75" s="6" t="s">
        <v>95</v>
      </c>
      <c r="D75" s="5" t="s">
        <v>31</v>
      </c>
      <c r="E75" s="5">
        <v>1</v>
      </c>
      <c r="F75" s="7" t="s">
        <v>13</v>
      </c>
      <c r="G75" s="5" t="str">
        <f t="shared" si="3"/>
        <v>DL4_3</v>
      </c>
      <c r="H75" s="169"/>
    </row>
    <row r="76" spans="1:9" ht="28">
      <c r="A76" s="5" t="s">
        <v>117</v>
      </c>
      <c r="B76" s="6" t="str">
        <f>A76&amp;". Please tell me in which of the following ways you got money in the past 12 months? "&amp;Other!B5</f>
        <v>DL4.4. Please tell me in which of the following ways you got money in the past 12 months? Received money from a relative, friend, or another person inside the country</v>
      </c>
      <c r="C76" s="6" t="s">
        <v>95</v>
      </c>
      <c r="D76" s="5" t="s">
        <v>31</v>
      </c>
      <c r="E76" s="5">
        <v>1</v>
      </c>
      <c r="F76" s="7" t="s">
        <v>13</v>
      </c>
      <c r="G76" s="5" t="str">
        <f t="shared" si="3"/>
        <v>DL4_4</v>
      </c>
      <c r="H76" s="169"/>
    </row>
    <row r="77" spans="1:9" ht="28">
      <c r="A77" s="5" t="s">
        <v>118</v>
      </c>
      <c r="B77" s="6" t="str">
        <f>A77&amp;". Please tell me in which of the following ways you got money in the past 12 months? "&amp;Other!B6</f>
        <v>DL4.5. Please tell me in which of the following ways you got money in the past 12 months? Received money from a relative, friend, or another person sent from a foreign country</v>
      </c>
      <c r="C77" s="6" t="s">
        <v>95</v>
      </c>
      <c r="D77" s="5" t="s">
        <v>31</v>
      </c>
      <c r="E77" s="5">
        <v>1</v>
      </c>
      <c r="F77" s="7" t="s">
        <v>13</v>
      </c>
      <c r="G77" s="5" t="str">
        <f t="shared" si="3"/>
        <v>DL4_5</v>
      </c>
      <c r="H77" s="169"/>
    </row>
    <row r="78" spans="1:9" ht="28">
      <c r="A78" s="5" t="s">
        <v>119</v>
      </c>
      <c r="B78" s="6" t="str">
        <f>A78&amp;". Please tell me in which of the following ways you got money in the past 12 months? "&amp;Other!B7</f>
        <v>DL4.6. Please tell me in which of the following ways you got money in the past 12 months? Ownership of a business, property, or assets</v>
      </c>
      <c r="C78" s="6" t="s">
        <v>95</v>
      </c>
      <c r="D78" s="5" t="s">
        <v>31</v>
      </c>
      <c r="E78" s="5">
        <v>1</v>
      </c>
      <c r="F78" s="7" t="s">
        <v>13</v>
      </c>
      <c r="G78" s="5" t="str">
        <f t="shared" si="3"/>
        <v>DL4_6</v>
      </c>
      <c r="H78" s="169"/>
    </row>
    <row r="79" spans="1:9" ht="28">
      <c r="A79" s="5" t="s">
        <v>120</v>
      </c>
      <c r="B79" s="6" t="str">
        <f>A79&amp;". Please tell me in which of the following ways you got money in the past 12 months? "&amp;Other!B8</f>
        <v>DL4.7. Please tell me in which of the following ways you got money in the past 12 months? Employment by the government</v>
      </c>
      <c r="C79" s="6" t="s">
        <v>95</v>
      </c>
      <c r="D79" s="5" t="s">
        <v>31</v>
      </c>
      <c r="E79" s="5">
        <v>1</v>
      </c>
      <c r="F79" s="7" t="s">
        <v>13</v>
      </c>
      <c r="G79" s="5" t="str">
        <f t="shared" si="3"/>
        <v>DL4_7</v>
      </c>
      <c r="H79" s="169"/>
    </row>
    <row r="80" spans="1:9" ht="28">
      <c r="A80" s="5" t="s">
        <v>121</v>
      </c>
      <c r="B80" s="6" t="str">
        <f>A80&amp;". Please tell me in which of the following ways you got money in the past 12 months? "&amp;Other!B9</f>
        <v>DL4.8. Please tell me in which of the following ways you got money in the past 12 months? Employment in a business with 10 employees or less</v>
      </c>
      <c r="C80" s="6" t="s">
        <v>95</v>
      </c>
      <c r="D80" s="5" t="s">
        <v>31</v>
      </c>
      <c r="E80" s="5">
        <v>1</v>
      </c>
      <c r="F80" s="7" t="s">
        <v>13</v>
      </c>
      <c r="G80" s="5" t="str">
        <f t="shared" si="3"/>
        <v>DL4_8</v>
      </c>
      <c r="H80" s="169"/>
    </row>
    <row r="81" spans="1:9" ht="28">
      <c r="A81" s="5" t="s">
        <v>122</v>
      </c>
      <c r="B81" s="6" t="str">
        <f>A81&amp;". Please tell me in which of the following ways you got money in the past 12 months? "&amp;Other!B10</f>
        <v>DL4.9. Please tell me in which of the following ways you got money in the past 12 months? Employment in a business with more than 10 employees</v>
      </c>
      <c r="C81" s="6" t="s">
        <v>95</v>
      </c>
      <c r="D81" s="5" t="s">
        <v>31</v>
      </c>
      <c r="E81" s="5">
        <v>1</v>
      </c>
      <c r="F81" s="7" t="s">
        <v>13</v>
      </c>
      <c r="G81" s="5" t="str">
        <f t="shared" si="3"/>
        <v>DL4_9</v>
      </c>
      <c r="H81" s="169"/>
    </row>
    <row r="82" spans="1:9" ht="28">
      <c r="A82" s="5" t="s">
        <v>123</v>
      </c>
      <c r="B82" s="6" t="str">
        <f>A82&amp;". Please tell me in which of the following ways you got money in the past 12 months? "&amp;Other!B11</f>
        <v>DL4.10. Please tell me in which of the following ways you got money in the past 12 months? Scholarship or stipend from the government or educational institution</v>
      </c>
      <c r="C82" s="6" t="s">
        <v>95</v>
      </c>
      <c r="D82" s="5" t="s">
        <v>31</v>
      </c>
      <c r="E82" s="5">
        <v>1</v>
      </c>
      <c r="F82" s="7" t="s">
        <v>13</v>
      </c>
      <c r="G82" s="5" t="str">
        <f t="shared" si="3"/>
        <v>DL4_10</v>
      </c>
      <c r="H82" s="169"/>
    </row>
    <row r="83" spans="1:9" ht="28">
      <c r="A83" s="76" t="s">
        <v>124</v>
      </c>
      <c r="B83" s="155" t="str">
        <f>A83&amp;". Please tell me in which of the following ways you got money in the past 12 months? "&amp;Other!B12</f>
        <v>DL4.11. Please tell me in which of the following ways you got money in the past 12 months? Pension</v>
      </c>
      <c r="C83" s="155" t="s">
        <v>125</v>
      </c>
      <c r="D83" s="76" t="s">
        <v>31</v>
      </c>
      <c r="E83" s="76">
        <v>1</v>
      </c>
      <c r="F83" s="156" t="s">
        <v>13</v>
      </c>
      <c r="G83" s="76" t="str">
        <f>SUBSTITUTE(A83,".","_")</f>
        <v>DL4_11</v>
      </c>
      <c r="H83" s="169"/>
    </row>
    <row r="84" spans="1:9" ht="28">
      <c r="A84" s="5" t="s">
        <v>126</v>
      </c>
      <c r="B84" s="6" t="str">
        <f>A84 &amp; ". Does anyone in your household own or lease a farm/farmland?"</f>
        <v>DL6. Does anyone in your household own or lease a farm/farmland?</v>
      </c>
      <c r="C84" s="6" t="s">
        <v>95</v>
      </c>
      <c r="D84" s="5" t="s">
        <v>31</v>
      </c>
      <c r="E84" s="5">
        <v>1</v>
      </c>
      <c r="F84" s="7" t="s">
        <v>13</v>
      </c>
      <c r="G84" s="5" t="str">
        <f t="shared" si="3"/>
        <v>DL6</v>
      </c>
      <c r="H84" s="169"/>
    </row>
    <row r="85" spans="1:9" ht="28">
      <c r="A85" s="5" t="s">
        <v>127</v>
      </c>
      <c r="B85" s="6" t="s">
        <v>128</v>
      </c>
      <c r="C85" s="6" t="s">
        <v>95</v>
      </c>
      <c r="D85" s="5" t="s">
        <v>31</v>
      </c>
      <c r="E85" s="5">
        <v>1</v>
      </c>
      <c r="F85" s="7" t="s">
        <v>129</v>
      </c>
      <c r="G85" s="5" t="str">
        <f t="shared" si="3"/>
        <v>DL7</v>
      </c>
      <c r="H85" s="169"/>
    </row>
    <row r="86" spans="1:9" ht="28">
      <c r="A86" s="5" t="s">
        <v>130</v>
      </c>
      <c r="B86" s="7" t="str">
        <f>A86&amp;". In the past 12 months, how many times did you move from one home to another?"</f>
        <v>DL11. In the past 12 months, how many times did you move from one home to another?</v>
      </c>
      <c r="C86" s="6" t="s">
        <v>131</v>
      </c>
      <c r="D86" s="5" t="s">
        <v>12</v>
      </c>
      <c r="E86" s="5">
        <v>2</v>
      </c>
      <c r="F86" s="7" t="s">
        <v>13</v>
      </c>
      <c r="G86" s="5" t="str">
        <f t="shared" si="3"/>
        <v>DL11</v>
      </c>
      <c r="H86" s="169"/>
    </row>
    <row r="87" spans="1:9" s="8" customFormat="1">
      <c r="A87" s="257" t="s">
        <v>132</v>
      </c>
      <c r="B87" s="258"/>
      <c r="C87" s="258"/>
      <c r="D87" s="258"/>
      <c r="E87" s="258"/>
      <c r="F87" s="258"/>
      <c r="G87" s="259"/>
      <c r="H87" s="171"/>
      <c r="I87" s="165"/>
    </row>
    <row r="88" spans="1:9" s="1" customFormat="1" ht="13">
      <c r="A88" s="3" t="s">
        <v>2</v>
      </c>
      <c r="B88" s="4" t="s">
        <v>3</v>
      </c>
      <c r="C88" s="4" t="s">
        <v>4</v>
      </c>
      <c r="D88" s="3" t="s">
        <v>5</v>
      </c>
      <c r="E88" s="4" t="s">
        <v>6</v>
      </c>
      <c r="F88" s="4" t="s">
        <v>7</v>
      </c>
      <c r="G88" s="3" t="s">
        <v>8</v>
      </c>
      <c r="H88" s="168"/>
      <c r="I88" s="164"/>
    </row>
    <row r="89" spans="1:9" s="1" customFormat="1" ht="84">
      <c r="A89" s="76" t="s">
        <v>133</v>
      </c>
      <c r="B89" s="155" t="str">
        <f>A89&amp;". How many household members are there?"</f>
        <v>DL14. How many household members are there?</v>
      </c>
      <c r="C89" s="155" t="s">
        <v>134</v>
      </c>
      <c r="D89" s="76" t="s">
        <v>31</v>
      </c>
      <c r="E89" s="9">
        <v>1</v>
      </c>
      <c r="F89" s="5" t="s">
        <v>13</v>
      </c>
      <c r="G89" s="5" t="str">
        <f t="shared" ref="G89:G99" si="4">SUBSTITUTE(A89,".","_")</f>
        <v>DL14</v>
      </c>
      <c r="H89" s="168"/>
      <c r="I89" s="164"/>
    </row>
    <row r="90" spans="1:9" s="1" customFormat="1" ht="42">
      <c r="A90" s="76" t="s">
        <v>135</v>
      </c>
      <c r="B90" s="155" t="s">
        <v>136</v>
      </c>
      <c r="C90" s="155" t="s">
        <v>137</v>
      </c>
      <c r="D90" s="76" t="s">
        <v>31</v>
      </c>
      <c r="E90" s="5">
        <v>1</v>
      </c>
      <c r="F90" s="5" t="s">
        <v>13</v>
      </c>
      <c r="G90" s="5" t="str">
        <f t="shared" si="4"/>
        <v>DL15</v>
      </c>
      <c r="H90" s="168"/>
      <c r="I90" s="164"/>
    </row>
    <row r="91" spans="1:9" s="1" customFormat="1" ht="140">
      <c r="A91" s="76" t="s">
        <v>138</v>
      </c>
      <c r="B91" s="155" t="s">
        <v>139</v>
      </c>
      <c r="C91" s="23" t="s">
        <v>140</v>
      </c>
      <c r="D91" s="76" t="s">
        <v>31</v>
      </c>
      <c r="E91" s="5">
        <v>1</v>
      </c>
      <c r="F91" s="5" t="s">
        <v>13</v>
      </c>
      <c r="G91" s="5" t="str">
        <f t="shared" si="4"/>
        <v>DL16</v>
      </c>
      <c r="H91" s="168"/>
      <c r="I91" s="164"/>
    </row>
    <row r="92" spans="1:9" s="1" customFormat="1" ht="112">
      <c r="A92" s="76" t="s">
        <v>141</v>
      </c>
      <c r="B92" s="155" t="s">
        <v>142</v>
      </c>
      <c r="C92" s="155" t="s">
        <v>143</v>
      </c>
      <c r="D92" s="76" t="s">
        <v>31</v>
      </c>
      <c r="E92" s="5">
        <v>1</v>
      </c>
      <c r="F92" s="5" t="s">
        <v>13</v>
      </c>
      <c r="G92" s="5" t="str">
        <f t="shared" si="4"/>
        <v>DL17</v>
      </c>
      <c r="H92" s="168"/>
      <c r="I92" s="164"/>
    </row>
    <row r="93" spans="1:9" s="1" customFormat="1" ht="28">
      <c r="A93" s="76" t="s">
        <v>144</v>
      </c>
      <c r="B93" s="155" t="s">
        <v>145</v>
      </c>
      <c r="C93" s="155" t="s">
        <v>146</v>
      </c>
      <c r="D93" s="76" t="s">
        <v>31</v>
      </c>
      <c r="E93" s="5">
        <v>1</v>
      </c>
      <c r="F93" s="5" t="s">
        <v>13</v>
      </c>
      <c r="G93" s="5" t="str">
        <f t="shared" si="4"/>
        <v>DL18</v>
      </c>
      <c r="H93" s="168"/>
      <c r="I93" s="164"/>
    </row>
    <row r="94" spans="1:9" s="1" customFormat="1" ht="42">
      <c r="A94" s="76" t="s">
        <v>147</v>
      </c>
      <c r="B94" s="155" t="s">
        <v>148</v>
      </c>
      <c r="C94" s="155" t="s">
        <v>149</v>
      </c>
      <c r="D94" s="76" t="s">
        <v>31</v>
      </c>
      <c r="E94" s="5">
        <v>1</v>
      </c>
      <c r="F94" s="5" t="s">
        <v>13</v>
      </c>
      <c r="G94" s="5" t="str">
        <f t="shared" si="4"/>
        <v>DL19</v>
      </c>
      <c r="H94" s="168"/>
      <c r="I94" s="164"/>
    </row>
    <row r="95" spans="1:9" s="1" customFormat="1" ht="42">
      <c r="A95" s="76" t="s">
        <v>150</v>
      </c>
      <c r="B95" s="155" t="s">
        <v>151</v>
      </c>
      <c r="C95" s="155" t="s">
        <v>152</v>
      </c>
      <c r="D95" s="76" t="s">
        <v>31</v>
      </c>
      <c r="E95" s="5">
        <v>1</v>
      </c>
      <c r="F95" s="5" t="s">
        <v>13</v>
      </c>
      <c r="G95" s="5" t="str">
        <f t="shared" si="4"/>
        <v>DL20</v>
      </c>
      <c r="H95" s="168"/>
      <c r="I95" s="164"/>
    </row>
    <row r="96" spans="1:9" s="1" customFormat="1" ht="28">
      <c r="A96" s="76" t="s">
        <v>153</v>
      </c>
      <c r="B96" s="155" t="s">
        <v>154</v>
      </c>
      <c r="C96" s="155" t="s">
        <v>155</v>
      </c>
      <c r="D96" s="76" t="s">
        <v>31</v>
      </c>
      <c r="E96" s="5">
        <v>1</v>
      </c>
      <c r="F96" s="5" t="s">
        <v>13</v>
      </c>
      <c r="G96" s="5" t="str">
        <f t="shared" si="4"/>
        <v>DL21</v>
      </c>
      <c r="H96" s="168"/>
      <c r="I96" s="164"/>
    </row>
    <row r="97" spans="1:9" s="1" customFormat="1" ht="28">
      <c r="A97" s="76" t="s">
        <v>156</v>
      </c>
      <c r="B97" s="155" t="s">
        <v>157</v>
      </c>
      <c r="C97" s="155" t="s">
        <v>155</v>
      </c>
      <c r="D97" s="76" t="s">
        <v>31</v>
      </c>
      <c r="E97" s="5">
        <v>1</v>
      </c>
      <c r="F97" s="5" t="s">
        <v>13</v>
      </c>
      <c r="G97" s="5" t="str">
        <f t="shared" si="4"/>
        <v>DL22</v>
      </c>
      <c r="H97" s="168"/>
      <c r="I97" s="164"/>
    </row>
    <row r="98" spans="1:9" s="1" customFormat="1" ht="28">
      <c r="A98" s="76" t="s">
        <v>158</v>
      </c>
      <c r="B98" s="155" t="s">
        <v>159</v>
      </c>
      <c r="C98" s="155" t="s">
        <v>155</v>
      </c>
      <c r="D98" s="76" t="s">
        <v>31</v>
      </c>
      <c r="E98" s="5">
        <v>1</v>
      </c>
      <c r="F98" s="5" t="s">
        <v>13</v>
      </c>
      <c r="G98" s="5" t="str">
        <f t="shared" si="4"/>
        <v>DL23</v>
      </c>
      <c r="H98" s="168"/>
      <c r="I98" s="164"/>
    </row>
    <row r="99" spans="1:9" s="1" customFormat="1" ht="154">
      <c r="A99" s="76" t="s">
        <v>160</v>
      </c>
      <c r="B99" s="155" t="s">
        <v>161</v>
      </c>
      <c r="C99" s="155" t="s">
        <v>162</v>
      </c>
      <c r="D99" s="76" t="s">
        <v>31</v>
      </c>
      <c r="E99" s="5">
        <v>2</v>
      </c>
      <c r="F99" s="5" t="s">
        <v>13</v>
      </c>
      <c r="G99" s="5" t="str">
        <f t="shared" si="4"/>
        <v>DL24</v>
      </c>
      <c r="H99" s="168"/>
      <c r="I99" s="164"/>
    </row>
    <row r="100" spans="1:9" customFormat="1" ht="15">
      <c r="A100" s="235" t="s">
        <v>163</v>
      </c>
      <c r="B100" s="236"/>
      <c r="C100" s="236"/>
      <c r="D100" s="236"/>
      <c r="E100" s="236"/>
      <c r="F100" s="236"/>
      <c r="G100" s="237"/>
      <c r="H100" s="169"/>
      <c r="I100" s="172"/>
    </row>
    <row r="101" spans="1:9" s="37" customFormat="1">
      <c r="A101" s="3" t="s">
        <v>2</v>
      </c>
      <c r="B101" s="4" t="s">
        <v>3</v>
      </c>
      <c r="C101" s="4" t="s">
        <v>4</v>
      </c>
      <c r="D101" s="3" t="s">
        <v>5</v>
      </c>
      <c r="E101" s="4" t="s">
        <v>6</v>
      </c>
      <c r="F101" s="4" t="s">
        <v>7</v>
      </c>
      <c r="G101" s="3" t="s">
        <v>8</v>
      </c>
      <c r="H101" s="168"/>
      <c r="I101" s="173"/>
    </row>
    <row r="102" spans="1:9" customFormat="1" ht="28">
      <c r="A102" s="5" t="s">
        <v>164</v>
      </c>
      <c r="B102" s="6" t="s">
        <v>165</v>
      </c>
      <c r="C102" s="6" t="s">
        <v>125</v>
      </c>
      <c r="D102" s="5" t="s">
        <v>31</v>
      </c>
      <c r="E102" s="5">
        <v>1</v>
      </c>
      <c r="F102" s="7" t="s">
        <v>13</v>
      </c>
      <c r="G102" s="5" t="str">
        <f>SUBSTITUTE(A102,".","_")</f>
        <v>MT2</v>
      </c>
      <c r="H102" s="169"/>
      <c r="I102" s="172"/>
    </row>
    <row r="103" spans="1:9" customFormat="1" ht="28">
      <c r="A103" s="5" t="s">
        <v>166</v>
      </c>
      <c r="B103" s="6" t="str">
        <f>A103&amp;". Do you own a "&amp;Other!F2&amp;"?"</f>
        <v>MT2A.1. Do you own a basic phone (only allows calling, messaging, and saving phone numbers)?</v>
      </c>
      <c r="C103" s="6" t="s">
        <v>125</v>
      </c>
      <c r="D103" s="5" t="s">
        <v>31</v>
      </c>
      <c r="E103" s="5">
        <v>1</v>
      </c>
      <c r="F103" s="7" t="s">
        <v>167</v>
      </c>
      <c r="G103" s="5" t="str">
        <f>SUBSTITUTE(A103,".","_")</f>
        <v>MT2A_1</v>
      </c>
      <c r="H103" s="169"/>
      <c r="I103" s="172"/>
    </row>
    <row r="104" spans="1:9" customFormat="1" ht="28">
      <c r="A104" s="5" t="s">
        <v>168</v>
      </c>
      <c r="B104" s="6" t="str">
        <f>A104&amp;". Do you own a "&amp;Other!F3&amp;"?"</f>
        <v>MT2A.2. Do you own a feature phone (has a camera, radio)?</v>
      </c>
      <c r="C104" s="6" t="s">
        <v>125</v>
      </c>
      <c r="D104" s="5" t="s">
        <v>31</v>
      </c>
      <c r="E104" s="5">
        <v>1</v>
      </c>
      <c r="F104" s="7" t="s">
        <v>167</v>
      </c>
      <c r="G104" s="5" t="str">
        <f>SUBSTITUTE(A104,".","_")</f>
        <v>MT2A_2</v>
      </c>
      <c r="H104" s="169"/>
      <c r="I104" s="172"/>
    </row>
    <row r="105" spans="1:9" customFormat="1" ht="28">
      <c r="A105" s="5" t="s">
        <v>169</v>
      </c>
      <c r="B105" s="6" t="str">
        <f>A105&amp;". Do you own a "&amp;Other!F4&amp;"?"</f>
        <v>MT2A.3. Do you own a smartphone (has email, mobile applications) ?</v>
      </c>
      <c r="C105" s="6" t="s">
        <v>125</v>
      </c>
      <c r="D105" s="5" t="s">
        <v>31</v>
      </c>
      <c r="E105" s="5">
        <v>1</v>
      </c>
      <c r="F105" s="7" t="s">
        <v>167</v>
      </c>
      <c r="G105" s="5" t="str">
        <f>SUBSTITUTE(A105,".","_")</f>
        <v>MT2A_3</v>
      </c>
      <c r="H105" s="169"/>
      <c r="I105" s="172"/>
    </row>
    <row r="106" spans="1:9" customFormat="1" ht="70">
      <c r="A106" s="5" t="s">
        <v>170</v>
      </c>
      <c r="B106" s="6" t="s">
        <v>171</v>
      </c>
      <c r="C106" s="6" t="s">
        <v>172</v>
      </c>
      <c r="D106" s="5" t="s">
        <v>31</v>
      </c>
      <c r="E106" s="5">
        <v>1</v>
      </c>
      <c r="F106" s="7" t="s">
        <v>167</v>
      </c>
      <c r="G106" s="5" t="s">
        <v>170</v>
      </c>
      <c r="H106" s="169"/>
      <c r="I106" s="172"/>
    </row>
    <row r="107" spans="1:9" customFormat="1" ht="70">
      <c r="A107" s="5" t="s">
        <v>173</v>
      </c>
      <c r="B107" s="6" t="str">
        <f>A107&amp;". How often do you have a problem charging your phone because of a lack of electrical power?"</f>
        <v>MT6B. How often do you have a problem charging your phone because of a lack of electrical power?</v>
      </c>
      <c r="C107" s="6" t="s">
        <v>174</v>
      </c>
      <c r="D107" s="5" t="s">
        <v>31</v>
      </c>
      <c r="E107" s="5">
        <v>1</v>
      </c>
      <c r="F107" s="7" t="s">
        <v>167</v>
      </c>
      <c r="G107" s="5" t="str">
        <f t="shared" ref="G107:G117" si="5">SUBSTITUTE(A107,".","_")</f>
        <v>MT6B</v>
      </c>
      <c r="H107" s="169"/>
      <c r="I107" s="172"/>
    </row>
    <row r="108" spans="1:9" customFormat="1" ht="70">
      <c r="A108" s="5" t="s">
        <v>175</v>
      </c>
      <c r="B108" s="6" t="str">
        <f>A108&amp;". How often do you have a problem using your phone because there is no network coverage?"</f>
        <v>MT6D. How often do you have a problem using your phone because there is no network coverage?</v>
      </c>
      <c r="C108" s="6" t="s">
        <v>174</v>
      </c>
      <c r="D108" s="5" t="s">
        <v>31</v>
      </c>
      <c r="E108" s="5">
        <v>1</v>
      </c>
      <c r="F108" s="7" t="s">
        <v>167</v>
      </c>
      <c r="G108" s="5" t="str">
        <f t="shared" si="5"/>
        <v>MT6D</v>
      </c>
      <c r="H108" s="169"/>
      <c r="I108" s="172"/>
    </row>
    <row r="109" spans="1:9" customFormat="1" ht="98">
      <c r="A109" s="5" t="s">
        <v>176</v>
      </c>
      <c r="B109" s="6" t="str">
        <f>A109&amp;". Please tell me how much you agree or disagree with the following statement on how your phone is used: I make the final decision on how my phone is used."</f>
        <v>MTGN. Please tell me how much you agree or disagree with the following statement on how your phone is used: I make the final decision on how my phone is used.</v>
      </c>
      <c r="C109" s="6" t="s">
        <v>177</v>
      </c>
      <c r="D109" s="5" t="s">
        <v>31</v>
      </c>
      <c r="E109" s="5">
        <v>2</v>
      </c>
      <c r="F109" s="7" t="s">
        <v>167</v>
      </c>
      <c r="G109" s="5" t="str">
        <f t="shared" si="5"/>
        <v>MTGN</v>
      </c>
      <c r="H109" s="169"/>
      <c r="I109" s="172"/>
    </row>
    <row r="110" spans="1:9" customFormat="1" ht="28">
      <c r="A110" s="5" t="s">
        <v>178</v>
      </c>
      <c r="B110" s="6" t="str">
        <f>A110&amp;". Do you use a mobile phone that belongs to someone else or is shared?"</f>
        <v>MT7. Do you use a mobile phone that belongs to someone else or is shared?</v>
      </c>
      <c r="C110" s="6" t="s">
        <v>125</v>
      </c>
      <c r="D110" s="5" t="s">
        <v>31</v>
      </c>
      <c r="E110" s="5">
        <v>1</v>
      </c>
      <c r="F110" s="7" t="s">
        <v>13</v>
      </c>
      <c r="G110" s="5" t="str">
        <f t="shared" si="5"/>
        <v>MT7</v>
      </c>
      <c r="H110" s="169"/>
      <c r="I110" s="172"/>
    </row>
    <row r="111" spans="1:9" customFormat="1" ht="42">
      <c r="A111" s="5" t="s">
        <v>179</v>
      </c>
      <c r="B111" s="6" t="str">
        <f>A111&amp;". Do you use mobile data, or only voice and text?"</f>
        <v>MT8. Do you use mobile data, or only voice and text?</v>
      </c>
      <c r="C111" s="35" t="s">
        <v>180</v>
      </c>
      <c r="D111" s="5" t="s">
        <v>31</v>
      </c>
      <c r="E111" s="5">
        <v>2</v>
      </c>
      <c r="F111" s="7" t="s">
        <v>181</v>
      </c>
      <c r="G111" s="5" t="str">
        <f t="shared" si="5"/>
        <v>MT8</v>
      </c>
      <c r="H111" s="169"/>
      <c r="I111" s="172"/>
    </row>
    <row r="112" spans="1:9" customFormat="1" ht="42">
      <c r="A112" s="5" t="s">
        <v>182</v>
      </c>
      <c r="B112" s="6" t="str">
        <f>A112&amp;". Now I will read a list of reasons why some people do not own mobile phones. For each one that I read, please tell me whether or not it is a reason why you do not own a phone? "&amp;Other!G2</f>
        <v>MT9.1. Now I will read a list of reasons why some people do not own mobile phones. For each one that I read, please tell me whether or not it is a reason why you do not own a phone? Lack of money to buy a mobile phone</v>
      </c>
      <c r="C112" s="6" t="s">
        <v>125</v>
      </c>
      <c r="D112" s="5" t="s">
        <v>31</v>
      </c>
      <c r="E112" s="5">
        <v>1</v>
      </c>
      <c r="F112" s="7" t="s">
        <v>183</v>
      </c>
      <c r="G112" s="5" t="str">
        <f t="shared" si="5"/>
        <v>MT9_1</v>
      </c>
      <c r="H112" s="169"/>
      <c r="I112" s="172"/>
    </row>
    <row r="113" spans="1:9" customFormat="1" ht="42">
      <c r="A113" s="5" t="s">
        <v>184</v>
      </c>
      <c r="B113" s="6" t="str">
        <f>A113&amp;". Now I will read a list of reasons why some people do not own mobile phones. For each one that I read, please tell me whether or not it is a reason why you do not own a phone? "&amp;Other!G3</f>
        <v>MT9.2. Now I will read a list of reasons why some people do not own mobile phones. For each one that I read, please tell me whether or not it is a reason why you do not own a phone? No need for a mobile phone</v>
      </c>
      <c r="C113" s="6" t="s">
        <v>125</v>
      </c>
      <c r="D113" s="5" t="s">
        <v>31</v>
      </c>
      <c r="E113" s="5">
        <v>1</v>
      </c>
      <c r="F113" s="7" t="s">
        <v>183</v>
      </c>
      <c r="G113" s="5" t="str">
        <f t="shared" si="5"/>
        <v>MT9_2</v>
      </c>
      <c r="H113" s="169"/>
      <c r="I113" s="172"/>
    </row>
    <row r="114" spans="1:9" customFormat="1" ht="42">
      <c r="A114" s="5" t="s">
        <v>185</v>
      </c>
      <c r="B114" s="6" t="str">
        <f>A114&amp;". Now I will read a list of reasons why some people do not own mobile phones. For each one that I read, please tell me whether or not it is a reason why you do not own a phone? "&amp;Other!G4</f>
        <v>MT9.3. Now I will read a list of reasons why some people do not own mobile phones. For each one that I read, please tell me whether or not it is a reason why you do not own a phone? My mobile phone was lost, broken, or stopped working</v>
      </c>
      <c r="C114" s="6" t="s">
        <v>125</v>
      </c>
      <c r="D114" s="5" t="s">
        <v>31</v>
      </c>
      <c r="E114" s="5">
        <v>1</v>
      </c>
      <c r="F114" s="7" t="s">
        <v>183</v>
      </c>
      <c r="G114" s="5" t="str">
        <f t="shared" si="5"/>
        <v>MT9_3</v>
      </c>
      <c r="H114" s="169"/>
      <c r="I114" s="172"/>
    </row>
    <row r="115" spans="1:9" customFormat="1" ht="42">
      <c r="A115" s="5" t="s">
        <v>186</v>
      </c>
      <c r="B115" s="6" t="str">
        <f>A115&amp;". Now I will read a list of reasons why some people do not own mobile phones. For each one that I read, please tell me whether or not it is a reason why you do not own a phone? "&amp;Other!G5</f>
        <v>MT9.4. Now I will read a list of reasons why some people do not own mobile phones. For each one that I read, please tell me whether or not it is a reason why you do not own a phone? My family members do not want me to have a mobile phone.</v>
      </c>
      <c r="C115" s="6" t="s">
        <v>125</v>
      </c>
      <c r="D115" s="5" t="s">
        <v>31</v>
      </c>
      <c r="E115" s="5">
        <v>1</v>
      </c>
      <c r="F115" s="7" t="s">
        <v>183</v>
      </c>
      <c r="G115" s="5" t="str">
        <f t="shared" si="5"/>
        <v>MT9_4</v>
      </c>
      <c r="H115" s="169"/>
      <c r="I115" s="172"/>
    </row>
    <row r="116" spans="1:9" customFormat="1" ht="42">
      <c r="A116" s="5" t="s">
        <v>187</v>
      </c>
      <c r="B116" s="6" t="str">
        <f>A116&amp;". Now I will read a list of reasons why some people do not own mobile phones. For each one that I read, please tell me whether or not it is a reason why you do not own a phone? "&amp;Other!G6</f>
        <v>MT9.5. Now I will read a list of reasons why some people do not own mobile phones. For each one that I read, please tell me whether or not it is a reason why you do not own a phone? There is no mobile phone network where I live.</v>
      </c>
      <c r="C116" s="6" t="s">
        <v>125</v>
      </c>
      <c r="D116" s="5" t="s">
        <v>31</v>
      </c>
      <c r="E116" s="5">
        <v>1</v>
      </c>
      <c r="F116" s="7" t="s">
        <v>183</v>
      </c>
      <c r="G116" s="5" t="str">
        <f t="shared" si="5"/>
        <v>MT9_5</v>
      </c>
      <c r="H116" s="169"/>
      <c r="I116" s="172"/>
    </row>
    <row r="117" spans="1:9" customFormat="1" ht="42">
      <c r="A117" s="76" t="s">
        <v>188</v>
      </c>
      <c r="B117" s="155" t="str">
        <f>A117&amp;". Now I will read a list of reasons why some people do not own mobile phones. For each one that I read, please tell me whether or not it is a reason why you do not own a phone? "&amp;Other!G7</f>
        <v>MT9.6. Now I will read a list of reasons why some people do not own mobile phones. For each one that I read, please tell me whether or not it is a reason why you do not own a phone? Don't know how to use a mobile phone</v>
      </c>
      <c r="C117" s="155" t="s">
        <v>189</v>
      </c>
      <c r="D117" s="76" t="s">
        <v>31</v>
      </c>
      <c r="E117" s="76">
        <v>1</v>
      </c>
      <c r="F117" s="156" t="s">
        <v>183</v>
      </c>
      <c r="G117" s="76" t="str">
        <f t="shared" si="5"/>
        <v>MT9_6</v>
      </c>
      <c r="H117" s="169"/>
      <c r="I117" s="172"/>
    </row>
    <row r="118" spans="1:9" s="1" customFormat="1" ht="54.75" customHeight="1">
      <c r="A118" s="244" t="s">
        <v>2908</v>
      </c>
      <c r="B118" s="245"/>
      <c r="C118" s="246"/>
      <c r="D118" s="31"/>
      <c r="E118" s="31"/>
      <c r="F118" s="31"/>
      <c r="G118" s="31"/>
      <c r="H118" s="168"/>
      <c r="I118" s="164"/>
    </row>
    <row r="119" spans="1:9" s="1" customFormat="1" ht="13">
      <c r="A119" s="3" t="s">
        <v>2</v>
      </c>
      <c r="B119" s="4" t="s">
        <v>3</v>
      </c>
      <c r="C119" s="4" t="s">
        <v>4</v>
      </c>
      <c r="D119" s="3" t="s">
        <v>5</v>
      </c>
      <c r="E119" s="3" t="s">
        <v>6</v>
      </c>
      <c r="F119" s="4" t="s">
        <v>7</v>
      </c>
      <c r="G119" s="3" t="s">
        <v>8</v>
      </c>
      <c r="H119" s="176"/>
      <c r="I119" s="164"/>
    </row>
    <row r="120" spans="1:9" s="1" customFormat="1" ht="42">
      <c r="A120" s="5" t="s">
        <v>342</v>
      </c>
      <c r="B120" s="7" t="str">
        <f>A120&amp;". An account can be used to save money, to make or receive payments, or to receive wages or financial help. Do you, either by yourself or together with someone else, currently have an account at a bank or another type of formal financial institution?"</f>
        <v>FNX. An account can be used to save money, to make or receive payments, or to receive wages or financial help. Do you, either by yourself or together with someone else, currently have an account at a bank or another type of formal financial institution?</v>
      </c>
      <c r="C120" s="32" t="s">
        <v>95</v>
      </c>
      <c r="D120" s="9" t="s">
        <v>31</v>
      </c>
      <c r="E120" s="9">
        <v>1</v>
      </c>
      <c r="F120" s="55" t="s">
        <v>13</v>
      </c>
      <c r="G120" s="5" t="str">
        <f>SUBSTITUTE(A120,".","_")</f>
        <v>FNX</v>
      </c>
      <c r="H120" s="176"/>
      <c r="I120" s="164"/>
    </row>
    <row r="121" spans="1:9" s="1" customFormat="1" ht="28">
      <c r="A121" s="5" t="s">
        <v>343</v>
      </c>
      <c r="B121" s="7" t="str">
        <f>A121&amp;". Does anyone in your household currently have an account at a bank or another type of formal financial institution?"</f>
        <v>FNXH. Does anyone in your household currently have an account at a bank or another type of formal financial institution?</v>
      </c>
      <c r="C121" s="32" t="s">
        <v>95</v>
      </c>
      <c r="D121" s="9" t="s">
        <v>31</v>
      </c>
      <c r="E121" s="9">
        <v>1</v>
      </c>
      <c r="F121" s="55" t="s">
        <v>344</v>
      </c>
      <c r="G121" s="5" t="str">
        <f t="shared" ref="G121" si="6">SUBSTITUTE(A121,".","_")</f>
        <v>FNXH</v>
      </c>
      <c r="H121" s="176"/>
      <c r="I121" s="164"/>
    </row>
    <row r="122" spans="1:9" s="1" customFormat="1" ht="84">
      <c r="A122" s="5" t="s">
        <v>345</v>
      </c>
      <c r="B122" s="7" t="str">
        <f>A122&amp;". When was the last time you used your account with a bank or another type of formal financial institution?"</f>
        <v>FNXA. When was the last time you used your account with a bank or another type of formal financial institution?</v>
      </c>
      <c r="C122" s="32" t="s">
        <v>289</v>
      </c>
      <c r="D122" s="9" t="s">
        <v>31</v>
      </c>
      <c r="E122" s="9">
        <v>1</v>
      </c>
      <c r="F122" s="55" t="s">
        <v>346</v>
      </c>
      <c r="G122" s="5" t="str">
        <f t="shared" ref="G122" si="7">SUBSTITUTE(A122,".","_")</f>
        <v>FNXA</v>
      </c>
      <c r="H122" s="176"/>
      <c r="I122" s="164"/>
    </row>
    <row r="123" spans="1:9" s="25" customFormat="1" ht="42">
      <c r="A123" s="22" t="s">
        <v>347</v>
      </c>
      <c r="B123" s="21" t="str">
        <f>A123&amp;". Have you ever used your account for any of the following things: to receive wages from an employer, receive money from the government, pay taxes, fines or fees to the government, or pay school fees?"</f>
        <v>GF1. Have you ever used your account for any of the following things: to receive wages from an employer, receive money from the government, pay taxes, fines or fees to the government, or pay school fees?</v>
      </c>
      <c r="C123" s="23" t="s">
        <v>95</v>
      </c>
      <c r="D123" s="24" t="s">
        <v>31</v>
      </c>
      <c r="E123" s="24">
        <v>1</v>
      </c>
      <c r="F123" s="112" t="s">
        <v>346</v>
      </c>
      <c r="G123" s="22" t="str">
        <f t="shared" ref="G123:G124" si="8">SUBSTITUTE(A123,".","_")</f>
        <v>GF1</v>
      </c>
      <c r="H123" s="176"/>
      <c r="I123" s="164"/>
    </row>
    <row r="124" spans="1:9" s="25" customFormat="1" ht="28">
      <c r="A124" s="22" t="s">
        <v>348</v>
      </c>
      <c r="B124" s="21" t="str">
        <f>A124&amp;". Have you ever used your account for any of the following things: to save, borrow, or invest money, buy things, pay bills, or get insurance?"</f>
        <v>GF2. Have you ever used your account for any of the following things: to save, borrow, or invest money, buy things, pay bills, or get insurance?</v>
      </c>
      <c r="C124" s="23" t="s">
        <v>95</v>
      </c>
      <c r="D124" s="24" t="s">
        <v>31</v>
      </c>
      <c r="E124" s="24">
        <v>1</v>
      </c>
      <c r="F124" s="112" t="s">
        <v>346</v>
      </c>
      <c r="G124" s="22" t="str">
        <f t="shared" si="8"/>
        <v>GF2</v>
      </c>
      <c r="H124" s="176"/>
      <c r="I124" s="164"/>
    </row>
    <row r="125" spans="1:9" customFormat="1" ht="15">
      <c r="A125" s="247" t="s">
        <v>2844</v>
      </c>
      <c r="B125" s="248"/>
      <c r="C125" s="248"/>
      <c r="D125" s="248"/>
      <c r="E125" s="248"/>
      <c r="F125" s="248"/>
      <c r="G125" s="249"/>
      <c r="H125" s="188"/>
      <c r="I125" s="172"/>
    </row>
    <row r="126" spans="1:9" customFormat="1" ht="15">
      <c r="A126" s="3" t="s">
        <v>2</v>
      </c>
      <c r="B126" s="4" t="s">
        <v>3</v>
      </c>
      <c r="C126" s="4" t="s">
        <v>4</v>
      </c>
      <c r="D126" s="3" t="s">
        <v>5</v>
      </c>
      <c r="E126" s="4" t="s">
        <v>6</v>
      </c>
      <c r="F126" s="4" t="s">
        <v>190</v>
      </c>
      <c r="G126" s="3" t="s">
        <v>191</v>
      </c>
      <c r="H126" s="189"/>
      <c r="I126" s="172"/>
    </row>
    <row r="127" spans="1:9" customFormat="1" ht="28">
      <c r="A127" s="34" t="s">
        <v>192</v>
      </c>
      <c r="B127" s="23" t="str">
        <f>A127&amp;". Have you ever used any of the following products or services? "&amp;OJK!A2</f>
        <v>OJK1.1. Have you ever used any of the following products or services? Bank savings</v>
      </c>
      <c r="C127" s="23" t="s">
        <v>125</v>
      </c>
      <c r="D127" s="22" t="s">
        <v>31</v>
      </c>
      <c r="E127" s="22">
        <v>1</v>
      </c>
      <c r="F127" s="23" t="s">
        <v>13</v>
      </c>
      <c r="G127" s="22" t="str">
        <f t="shared" ref="G127:G151" si="9">SUBSTITUTE(A127,".","_")</f>
        <v>OJK1_1</v>
      </c>
      <c r="H127" s="188"/>
      <c r="I127" s="172"/>
    </row>
    <row r="128" spans="1:9" customFormat="1" ht="56">
      <c r="A128" s="34" t="str">
        <f>A127&amp;"A"</f>
        <v>OJK1.1A</v>
      </c>
      <c r="B128" s="23" t="str">
        <f>A128&amp;". Was that conventional or sharia, or have you used both conventional and sharia? "&amp;OJK!A2</f>
        <v>OJK1.1A. Was that conventional or sharia, or have you used both conventional and sharia? Bank savings</v>
      </c>
      <c r="C128" s="23" t="s">
        <v>193</v>
      </c>
      <c r="D128" s="22" t="s">
        <v>31</v>
      </c>
      <c r="E128" s="22">
        <v>2</v>
      </c>
      <c r="F128" s="23" t="s">
        <v>194</v>
      </c>
      <c r="G128" s="22" t="str">
        <f t="shared" si="9"/>
        <v>OJK1_1A</v>
      </c>
      <c r="H128" s="188"/>
      <c r="I128" s="172"/>
    </row>
    <row r="129" spans="1:9" customFormat="1" ht="28">
      <c r="A129" s="34" t="s">
        <v>195</v>
      </c>
      <c r="B129" s="23" t="str">
        <f>A129&amp;". Have you ever used any of the following products or services? "&amp;OJK!A3</f>
        <v>OJK1.2. Have you ever used any of the following products or services? Bank deposit</v>
      </c>
      <c r="C129" s="23" t="s">
        <v>125</v>
      </c>
      <c r="D129" s="22" t="s">
        <v>31</v>
      </c>
      <c r="E129" s="22">
        <v>1</v>
      </c>
      <c r="F129" s="23" t="s">
        <v>13</v>
      </c>
      <c r="G129" s="22" t="str">
        <f t="shared" si="9"/>
        <v>OJK1_2</v>
      </c>
      <c r="H129" s="188"/>
      <c r="I129" s="172"/>
    </row>
    <row r="130" spans="1:9" customFormat="1" ht="56">
      <c r="A130" s="34" t="str">
        <f>A129&amp;"A"</f>
        <v>OJK1.2A</v>
      </c>
      <c r="B130" s="23" t="str">
        <f>A130&amp;". Was that conventional or sharia, or have you used both conventional and sharia? "&amp;OJK!A3</f>
        <v>OJK1.2A. Was that conventional or sharia, or have you used both conventional and sharia? Bank deposit</v>
      </c>
      <c r="C130" s="23" t="s">
        <v>193</v>
      </c>
      <c r="D130" s="22" t="s">
        <v>31</v>
      </c>
      <c r="E130" s="22">
        <v>2</v>
      </c>
      <c r="F130" s="23" t="s">
        <v>196</v>
      </c>
      <c r="G130" s="22" t="str">
        <f t="shared" si="9"/>
        <v>OJK1_2A</v>
      </c>
      <c r="H130" s="188"/>
      <c r="I130" s="172"/>
    </row>
    <row r="131" spans="1:9" customFormat="1" ht="28">
      <c r="A131" s="34" t="s">
        <v>197</v>
      </c>
      <c r="B131" s="23" t="str">
        <f>A131&amp;". Have you ever used any of the following products or services? "&amp;OJK!A4</f>
        <v>OJK1.3. Have you ever used any of the following products or services? Bank current account</v>
      </c>
      <c r="C131" s="23" t="s">
        <v>125</v>
      </c>
      <c r="D131" s="22" t="s">
        <v>31</v>
      </c>
      <c r="E131" s="22">
        <v>1</v>
      </c>
      <c r="F131" s="23" t="s">
        <v>13</v>
      </c>
      <c r="G131" s="22" t="str">
        <f t="shared" si="9"/>
        <v>OJK1_3</v>
      </c>
      <c r="H131" s="188"/>
      <c r="I131" s="172"/>
    </row>
    <row r="132" spans="1:9" customFormat="1" ht="56">
      <c r="A132" s="34" t="str">
        <f>A131&amp;"A"</f>
        <v>OJK1.3A</v>
      </c>
      <c r="B132" s="23" t="str">
        <f>A132&amp;". Was that conventional or sharia, or have you used both conventional and sharia? "&amp;OJK!A4</f>
        <v>OJK1.3A. Was that conventional or sharia, or have you used both conventional and sharia? Bank current account</v>
      </c>
      <c r="C132" s="23" t="s">
        <v>193</v>
      </c>
      <c r="D132" s="22" t="s">
        <v>31</v>
      </c>
      <c r="E132" s="22">
        <v>2</v>
      </c>
      <c r="F132" s="23" t="s">
        <v>198</v>
      </c>
      <c r="G132" s="22" t="str">
        <f t="shared" si="9"/>
        <v>OJK1_3A</v>
      </c>
      <c r="H132" s="188"/>
      <c r="I132" s="172"/>
    </row>
    <row r="133" spans="1:9" customFormat="1" ht="28">
      <c r="A133" s="34" t="s">
        <v>199</v>
      </c>
      <c r="B133" s="23" t="str">
        <f>A133&amp;". Have you ever used any of the following products or services? "&amp;OJK!A5</f>
        <v>OJK1.4. Have you ever used any of the following products or services? Bank transfer</v>
      </c>
      <c r="C133" s="23" t="s">
        <v>125</v>
      </c>
      <c r="D133" s="22" t="s">
        <v>31</v>
      </c>
      <c r="E133" s="22">
        <v>1</v>
      </c>
      <c r="F133" s="23" t="s">
        <v>13</v>
      </c>
      <c r="G133" s="22" t="str">
        <f t="shared" si="9"/>
        <v>OJK1_4</v>
      </c>
      <c r="H133" s="188"/>
      <c r="I133" s="172"/>
    </row>
    <row r="134" spans="1:9" s="29" customFormat="1" ht="56">
      <c r="A134" s="34" t="str">
        <f>A133&amp;"A"</f>
        <v>OJK1.4A</v>
      </c>
      <c r="B134" s="23" t="str">
        <f>A134&amp;". Was that conventional or sharia, or have you used both conventional and sharia? "&amp;OJK!A5</f>
        <v>OJK1.4A. Was that conventional or sharia, or have you used both conventional and sharia? Bank transfer</v>
      </c>
      <c r="C134" s="23" t="s">
        <v>193</v>
      </c>
      <c r="D134" s="22" t="s">
        <v>31</v>
      </c>
      <c r="E134" s="22">
        <v>2</v>
      </c>
      <c r="F134" s="23" t="s">
        <v>200</v>
      </c>
      <c r="G134" s="22" t="str">
        <f t="shared" si="9"/>
        <v>OJK1_4A</v>
      </c>
      <c r="H134" s="188"/>
      <c r="I134" s="172"/>
    </row>
    <row r="135" spans="1:9" customFormat="1" ht="28">
      <c r="A135" s="34" t="s">
        <v>201</v>
      </c>
      <c r="B135" s="23" t="str">
        <f>A135&amp;". Have you ever used any of the following products or services? "&amp;OJK!A6</f>
        <v>OJK1.5. Have you ever used any of the following products or services? Bank loan/financing with collateral</v>
      </c>
      <c r="C135" s="23" t="s">
        <v>125</v>
      </c>
      <c r="D135" s="22" t="s">
        <v>31</v>
      </c>
      <c r="E135" s="22">
        <v>1</v>
      </c>
      <c r="F135" s="23" t="s">
        <v>13</v>
      </c>
      <c r="G135" s="22" t="str">
        <f t="shared" si="9"/>
        <v>OJK1_5</v>
      </c>
      <c r="H135" s="188"/>
      <c r="I135" s="172"/>
    </row>
    <row r="136" spans="1:9" customFormat="1" ht="56">
      <c r="A136" s="34" t="str">
        <f>A135&amp;"A"</f>
        <v>OJK1.5A</v>
      </c>
      <c r="B136" s="23" t="str">
        <f>A136&amp;". Was that conventional or sharia, or have you used both conventional and sharia? "&amp;OJK!A6</f>
        <v>OJK1.5A. Was that conventional or sharia, or have you used both conventional and sharia? Bank loan/financing with collateral</v>
      </c>
      <c r="C136" s="23" t="s">
        <v>193</v>
      </c>
      <c r="D136" s="22" t="s">
        <v>31</v>
      </c>
      <c r="E136" s="22">
        <v>2</v>
      </c>
      <c r="F136" s="23" t="s">
        <v>202</v>
      </c>
      <c r="G136" s="22" t="str">
        <f t="shared" si="9"/>
        <v>OJK1_5A</v>
      </c>
      <c r="H136" s="188"/>
      <c r="I136" s="172"/>
    </row>
    <row r="137" spans="1:9" customFormat="1" ht="28">
      <c r="A137" s="34" t="s">
        <v>203</v>
      </c>
      <c r="B137" s="23" t="str">
        <f>A137&amp;". Have you ever used any of the following products or services? "&amp;OJK!A7</f>
        <v>OJK1.6. Have you ever used any of the following products or services? Bank loan/financing without collateral (e.g. vehicle loans and credit cards)</v>
      </c>
      <c r="C137" s="23" t="s">
        <v>125</v>
      </c>
      <c r="D137" s="22" t="s">
        <v>31</v>
      </c>
      <c r="E137" s="22">
        <v>1</v>
      </c>
      <c r="F137" s="23" t="s">
        <v>13</v>
      </c>
      <c r="G137" s="22" t="str">
        <f t="shared" si="9"/>
        <v>OJK1_6</v>
      </c>
      <c r="H137" s="188"/>
      <c r="I137" s="172"/>
    </row>
    <row r="138" spans="1:9" customFormat="1" ht="56">
      <c r="A138" s="34" t="str">
        <f>A137&amp;"A"</f>
        <v>OJK1.6A</v>
      </c>
      <c r="B138" s="23" t="str">
        <f>A138&amp;". Was that conventional or sharia, or have you used both conventional and sharia? "&amp;OJK!A7</f>
        <v>OJK1.6A. Was that conventional or sharia, or have you used both conventional and sharia? Bank loan/financing without collateral (e.g. vehicle loans and credit cards)</v>
      </c>
      <c r="C138" s="23" t="s">
        <v>193</v>
      </c>
      <c r="D138" s="22" t="s">
        <v>31</v>
      </c>
      <c r="E138" s="22">
        <v>2</v>
      </c>
      <c r="F138" s="23" t="s">
        <v>204</v>
      </c>
      <c r="G138" s="22" t="str">
        <f t="shared" si="9"/>
        <v>OJK1_6A</v>
      </c>
      <c r="H138" s="188"/>
      <c r="I138" s="172"/>
    </row>
    <row r="139" spans="1:9" customFormat="1" ht="28">
      <c r="A139" s="34" t="s">
        <v>205</v>
      </c>
      <c r="B139" s="23" t="str">
        <f>A139&amp;". Have you ever used any of the following products or services? "&amp;OJK!A8</f>
        <v>OJK1.7. Have you ever used any of the following products or services? Bank micro credit program (KUR)</v>
      </c>
      <c r="C139" s="23" t="s">
        <v>125</v>
      </c>
      <c r="D139" s="22" t="s">
        <v>31</v>
      </c>
      <c r="E139" s="22">
        <v>1</v>
      </c>
      <c r="F139" s="23" t="s">
        <v>13</v>
      </c>
      <c r="G139" s="22" t="str">
        <f t="shared" si="9"/>
        <v>OJK1_7</v>
      </c>
      <c r="H139" s="188"/>
      <c r="I139" s="172"/>
    </row>
    <row r="140" spans="1:9" customFormat="1" ht="56">
      <c r="A140" s="34" t="str">
        <f>A139&amp;"A"</f>
        <v>OJK1.7A</v>
      </c>
      <c r="B140" s="23" t="str">
        <f>A140&amp;". Was that conventional or sharia, or have you used both conventional and sharia? "&amp;OJK!A8</f>
        <v>OJK1.7A. Was that conventional or sharia, or have you used both conventional and sharia? Bank micro credit program (KUR)</v>
      </c>
      <c r="C140" s="23" t="s">
        <v>193</v>
      </c>
      <c r="D140" s="22" t="s">
        <v>31</v>
      </c>
      <c r="E140" s="22">
        <v>2</v>
      </c>
      <c r="F140" s="23" t="s">
        <v>206</v>
      </c>
      <c r="G140" s="22" t="str">
        <f t="shared" si="9"/>
        <v>OJK1_7A</v>
      </c>
      <c r="H140" s="188"/>
      <c r="I140" s="172"/>
    </row>
    <row r="141" spans="1:9" customFormat="1" ht="28">
      <c r="A141" s="34" t="s">
        <v>207</v>
      </c>
      <c r="B141" s="23" t="str">
        <f>A141&amp;". Have you ever used any of the following products or services? "&amp;OJK!A9</f>
        <v>OJK1.8. Have you ever used any of the following products or services? Bank housing/apartment loan</v>
      </c>
      <c r="C141" s="23" t="s">
        <v>125</v>
      </c>
      <c r="D141" s="22" t="s">
        <v>31</v>
      </c>
      <c r="E141" s="22">
        <v>1</v>
      </c>
      <c r="F141" s="23" t="s">
        <v>13</v>
      </c>
      <c r="G141" s="22" t="str">
        <f t="shared" si="9"/>
        <v>OJK1_8</v>
      </c>
      <c r="H141" s="188"/>
      <c r="I141" s="172"/>
    </row>
    <row r="142" spans="1:9" customFormat="1" ht="56">
      <c r="A142" s="34" t="str">
        <f>A141&amp;"A"</f>
        <v>OJK1.8A</v>
      </c>
      <c r="B142" s="23" t="str">
        <f>A142&amp;". Was that conventional or sharia, or have you used both conventional and sharia? "&amp;OJK!A9</f>
        <v>OJK1.8A. Was that conventional or sharia, or have you used both conventional and sharia? Bank housing/apartment loan</v>
      </c>
      <c r="C142" s="23" t="s">
        <v>193</v>
      </c>
      <c r="D142" s="22" t="s">
        <v>31</v>
      </c>
      <c r="E142" s="22">
        <v>2</v>
      </c>
      <c r="F142" s="23" t="s">
        <v>208</v>
      </c>
      <c r="G142" s="22" t="str">
        <f t="shared" si="9"/>
        <v>OJK1_8A</v>
      </c>
      <c r="H142" s="188"/>
      <c r="I142" s="172"/>
    </row>
    <row r="143" spans="1:9" customFormat="1" ht="28">
      <c r="A143" s="34" t="s">
        <v>209</v>
      </c>
      <c r="B143" s="23" t="str">
        <f>A143&amp;". Have you ever used any of the following products or services? "&amp;OJK!A10</f>
        <v>OJK1.9. Have you ever used any of the following products or services? Bank micro loan/financing</v>
      </c>
      <c r="C143" s="23" t="s">
        <v>125</v>
      </c>
      <c r="D143" s="22" t="s">
        <v>31</v>
      </c>
      <c r="E143" s="22">
        <v>1</v>
      </c>
      <c r="F143" s="23" t="s">
        <v>13</v>
      </c>
      <c r="G143" s="22" t="str">
        <f t="shared" si="9"/>
        <v>OJK1_9</v>
      </c>
      <c r="H143" s="188"/>
      <c r="I143" s="172"/>
    </row>
    <row r="144" spans="1:9" customFormat="1" ht="56">
      <c r="A144" s="34" t="str">
        <f>A143&amp;"A"</f>
        <v>OJK1.9A</v>
      </c>
      <c r="B144" s="23" t="str">
        <f>A144&amp;". Was that conventional or sharia, or have you used both conventional and sharia? "&amp;OJK!A10</f>
        <v>OJK1.9A. Was that conventional or sharia, or have you used both conventional and sharia? Bank micro loan/financing</v>
      </c>
      <c r="C144" s="23" t="s">
        <v>193</v>
      </c>
      <c r="D144" s="22" t="s">
        <v>31</v>
      </c>
      <c r="E144" s="22">
        <v>2</v>
      </c>
      <c r="F144" s="23" t="s">
        <v>210</v>
      </c>
      <c r="G144" s="22" t="str">
        <f t="shared" si="9"/>
        <v>OJK1_9A</v>
      </c>
      <c r="H144" s="188"/>
      <c r="I144" s="172"/>
    </row>
    <row r="145" spans="1:9" customFormat="1" ht="28">
      <c r="A145" s="34" t="s">
        <v>211</v>
      </c>
      <c r="B145" s="23" t="str">
        <f>A145&amp;". Have you ever used any of the following products or services? "&amp;OJK!A11</f>
        <v>OJK1.10. Have you ever used any of the following products or services? Bank vehicle loan/financing</v>
      </c>
      <c r="C145" s="23" t="s">
        <v>125</v>
      </c>
      <c r="D145" s="22" t="s">
        <v>31</v>
      </c>
      <c r="E145" s="22">
        <v>1</v>
      </c>
      <c r="F145" s="23" t="s">
        <v>13</v>
      </c>
      <c r="G145" s="22" t="str">
        <f t="shared" si="9"/>
        <v>OJK1_10</v>
      </c>
      <c r="H145" s="188"/>
      <c r="I145" s="172"/>
    </row>
    <row r="146" spans="1:9" customFormat="1" ht="56">
      <c r="A146" s="34" t="str">
        <f>A145&amp;"A"</f>
        <v>OJK1.10A</v>
      </c>
      <c r="B146" s="23" t="str">
        <f>A146&amp;". Was that conventional or sharia, or have you used both conventional and sharia? "&amp;OJK!A11</f>
        <v>OJK1.10A. Was that conventional or sharia, or have you used both conventional and sharia? Bank vehicle loan/financing</v>
      </c>
      <c r="C146" s="23" t="s">
        <v>193</v>
      </c>
      <c r="D146" s="22" t="s">
        <v>31</v>
      </c>
      <c r="E146" s="22">
        <v>2</v>
      </c>
      <c r="F146" s="23" t="s">
        <v>212</v>
      </c>
      <c r="G146" s="22" t="str">
        <f t="shared" si="9"/>
        <v>OJK1_10A</v>
      </c>
      <c r="H146" s="188"/>
      <c r="I146" s="172"/>
    </row>
    <row r="147" spans="1:9" customFormat="1" ht="28">
      <c r="A147" s="34" t="s">
        <v>213</v>
      </c>
      <c r="B147" s="23" t="str">
        <f>A147&amp;". Have you ever used any of the following products or services? "&amp;OJK!A12</f>
        <v>OJK1.11. Have you ever used any of the following products or services? Bank electronic money (issued by bank)</v>
      </c>
      <c r="C147" s="23" t="s">
        <v>125</v>
      </c>
      <c r="D147" s="22" t="s">
        <v>31</v>
      </c>
      <c r="E147" s="22">
        <v>1</v>
      </c>
      <c r="F147" s="23" t="s">
        <v>13</v>
      </c>
      <c r="G147" s="22" t="str">
        <f t="shared" si="9"/>
        <v>OJK1_11</v>
      </c>
      <c r="H147" s="188"/>
      <c r="I147" s="172"/>
    </row>
    <row r="148" spans="1:9" customFormat="1" ht="56">
      <c r="A148" s="34" t="str">
        <f>A147&amp;"A"</f>
        <v>OJK1.11A</v>
      </c>
      <c r="B148" s="23" t="str">
        <f>A148&amp;". Was that conventional or sharia, or have you used both conventional and sharia? "&amp;OJK!A12</f>
        <v>OJK1.11A. Was that conventional or sharia, or have you used both conventional and sharia? Bank electronic money (issued by bank)</v>
      </c>
      <c r="C148" s="23" t="s">
        <v>193</v>
      </c>
      <c r="D148" s="22" t="s">
        <v>31</v>
      </c>
      <c r="E148" s="22">
        <v>2</v>
      </c>
      <c r="F148" s="23" t="s">
        <v>214</v>
      </c>
      <c r="G148" s="22" t="str">
        <f t="shared" si="9"/>
        <v>OJK1_11A</v>
      </c>
      <c r="H148" s="188"/>
      <c r="I148" s="172"/>
    </row>
    <row r="149" spans="1:9" customFormat="1" ht="28">
      <c r="A149" s="34" t="s">
        <v>215</v>
      </c>
      <c r="B149" s="23" t="str">
        <f>A149&amp;". Have you ever used any of the following products or services? "&amp;OJK!A13</f>
        <v>OJK1.12. Have you ever used any of the following products or services? Bank fiduciary/rahn</v>
      </c>
      <c r="C149" s="23" t="s">
        <v>125</v>
      </c>
      <c r="D149" s="22" t="s">
        <v>31</v>
      </c>
      <c r="E149" s="22">
        <v>1</v>
      </c>
      <c r="F149" s="23" t="s">
        <v>13</v>
      </c>
      <c r="G149" s="22" t="str">
        <f t="shared" si="9"/>
        <v>OJK1_12</v>
      </c>
      <c r="H149" s="188"/>
      <c r="I149" s="172"/>
    </row>
    <row r="150" spans="1:9" customFormat="1" ht="28">
      <c r="A150" s="34" t="s">
        <v>216</v>
      </c>
      <c r="B150" s="23" t="str">
        <f>A150&amp;". Have you ever used any of the following products or services? "&amp;OJK!A14</f>
        <v>OJK1.13. Have you ever used any of the following products or services? Bank lease/ijarah</v>
      </c>
      <c r="C150" s="23" t="s">
        <v>125</v>
      </c>
      <c r="D150" s="22" t="s">
        <v>31</v>
      </c>
      <c r="E150" s="22">
        <v>1</v>
      </c>
      <c r="F150" s="23" t="s">
        <v>13</v>
      </c>
      <c r="G150" s="22" t="str">
        <f t="shared" si="9"/>
        <v>OJK1_13</v>
      </c>
      <c r="H150" s="188"/>
      <c r="I150" s="172"/>
    </row>
    <row r="151" spans="1:9" customFormat="1" ht="28">
      <c r="A151" s="34" t="s">
        <v>217</v>
      </c>
      <c r="B151" s="23" t="str">
        <f>A151&amp;". Have you ever used any of the following products or services? "&amp;OJK!A15</f>
        <v>OJK1.14. Have you ever used any of the following products or services? Another bank product or service that I didn't mention</v>
      </c>
      <c r="C151" s="23" t="s">
        <v>125</v>
      </c>
      <c r="D151" s="22" t="s">
        <v>31</v>
      </c>
      <c r="E151" s="22">
        <v>1</v>
      </c>
      <c r="F151" s="23" t="s">
        <v>13</v>
      </c>
      <c r="G151" s="22" t="str">
        <f t="shared" si="9"/>
        <v>OJK1_14</v>
      </c>
      <c r="H151" s="188"/>
      <c r="I151" s="172"/>
    </row>
    <row r="152" spans="1:9" s="25" customFormat="1" ht="28">
      <c r="A152" s="197" t="s">
        <v>349</v>
      </c>
      <c r="B152" s="196" t="str">
        <f>A152&amp;". Do you currently have any of the following accounts? "&amp;REF!A2</f>
        <v>BI.E1A. Do you currently have any of the following accounts? Bank Savings Account</v>
      </c>
      <c r="C152" s="196" t="s">
        <v>95</v>
      </c>
      <c r="D152" s="197" t="s">
        <v>31</v>
      </c>
      <c r="E152" s="197">
        <v>1</v>
      </c>
      <c r="F152" s="199" t="s">
        <v>2829</v>
      </c>
      <c r="G152" s="22" t="str">
        <f t="shared" ref="G152:G198" si="10">SUBSTITUTE(A152,".","_")</f>
        <v>BI_E1A</v>
      </c>
      <c r="H152" s="176"/>
      <c r="I152" s="164"/>
    </row>
    <row r="153" spans="1:9" s="25" customFormat="1" ht="28">
      <c r="A153" s="197" t="s">
        <v>350</v>
      </c>
      <c r="B153" s="196" t="str">
        <f>A153&amp;". Do you currently have any of the following accounts? "&amp;REF!A3</f>
        <v>BI.E1B. Do you currently have any of the following accounts? Bank Current Account</v>
      </c>
      <c r="C153" s="196" t="s">
        <v>95</v>
      </c>
      <c r="D153" s="197" t="s">
        <v>31</v>
      </c>
      <c r="E153" s="197">
        <v>1</v>
      </c>
      <c r="F153" s="199" t="s">
        <v>2830</v>
      </c>
      <c r="G153" s="22" t="str">
        <f t="shared" si="10"/>
        <v>BI_E1B</v>
      </c>
      <c r="H153" s="176"/>
      <c r="I153" s="164"/>
    </row>
    <row r="154" spans="1:9" s="25" customFormat="1" ht="28">
      <c r="A154" s="197" t="s">
        <v>351</v>
      </c>
      <c r="B154" s="196" t="str">
        <f>A154&amp;". Do you currently have any of the following accounts? "&amp;REF!A4</f>
        <v>BI.E1C. Do you currently have any of the following accounts? Bank Time Deposits</v>
      </c>
      <c r="C154" s="196" t="s">
        <v>95</v>
      </c>
      <c r="D154" s="197" t="s">
        <v>31</v>
      </c>
      <c r="E154" s="197">
        <v>1</v>
      </c>
      <c r="F154" s="199" t="s">
        <v>2831</v>
      </c>
      <c r="G154" s="22" t="str">
        <f t="shared" si="10"/>
        <v>BI_E1C</v>
      </c>
      <c r="H154" s="176"/>
      <c r="I154" s="164"/>
    </row>
    <row r="155" spans="1:9" s="25" customFormat="1" ht="28">
      <c r="A155" s="197" t="s">
        <v>353</v>
      </c>
      <c r="B155" s="229" t="str">
        <f>A155&amp;". Do you currently have any of the following accounts? "&amp;REF!A6</f>
        <v>BI.E1V. Do you currently have any of the following accounts? Other bank account that I didn’t mention</v>
      </c>
      <c r="C155" s="196" t="s">
        <v>95</v>
      </c>
      <c r="D155" s="197" t="s">
        <v>31</v>
      </c>
      <c r="E155" s="197">
        <v>1</v>
      </c>
      <c r="F155" s="227" t="s">
        <v>2919</v>
      </c>
      <c r="G155" s="22" t="str">
        <f t="shared" si="10"/>
        <v>BI_E1V</v>
      </c>
      <c r="H155" s="176"/>
      <c r="I155" s="164"/>
    </row>
    <row r="156" spans="1:9" s="25" customFormat="1">
      <c r="A156" s="197" t="s">
        <v>354</v>
      </c>
      <c r="B156" s="229" t="str">
        <f>A156&amp;". Please specify with other bank account you have?"</f>
        <v>BI.E1V.96. Please specify with other bank account you have?</v>
      </c>
      <c r="C156" s="196" t="s">
        <v>11</v>
      </c>
      <c r="D156" s="197" t="s">
        <v>43</v>
      </c>
      <c r="E156" s="197">
        <v>50</v>
      </c>
      <c r="F156" s="21" t="s">
        <v>355</v>
      </c>
      <c r="G156" s="22" t="str">
        <f t="shared" ref="G156" si="11">SUBSTITUTE(A156,".","_")</f>
        <v>BI_E1V_96</v>
      </c>
      <c r="H156" s="176"/>
      <c r="I156" s="164"/>
    </row>
    <row r="157" spans="1:9" s="1" customFormat="1" ht="28">
      <c r="A157" s="197" t="s">
        <v>356</v>
      </c>
      <c r="B157" s="196" t="str">
        <f>A157&amp;". What is the reason you don’t have a "&amp;REF!$A$2 &amp;"? " &amp;REF!B2</f>
        <v>BI.E2A.A. What is the reason you don’t have a Bank Savings Account? Religion</v>
      </c>
      <c r="C157" s="196" t="s">
        <v>95</v>
      </c>
      <c r="D157" s="197" t="s">
        <v>31</v>
      </c>
      <c r="E157" s="197">
        <v>1</v>
      </c>
      <c r="F157" s="234" t="s">
        <v>2925</v>
      </c>
      <c r="G157" s="5" t="str">
        <f t="shared" si="10"/>
        <v>BI_E2A_A</v>
      </c>
      <c r="H157" s="176"/>
      <c r="I157" s="164"/>
    </row>
    <row r="158" spans="1:9" s="1" customFormat="1" ht="28">
      <c r="A158" s="197" t="s">
        <v>358</v>
      </c>
      <c r="B158" s="196" t="str">
        <f>A158&amp;". What is the reason you don’t have a "&amp;REF!$A$2 &amp;"? " &amp;REF!B3</f>
        <v>BI.E2A.B. What is the reason you don’t have a Bank Savings Account? Don’t need one</v>
      </c>
      <c r="C158" s="196" t="s">
        <v>95</v>
      </c>
      <c r="D158" s="197" t="s">
        <v>31</v>
      </c>
      <c r="E158" s="197">
        <v>1</v>
      </c>
      <c r="F158" s="234" t="s">
        <v>2925</v>
      </c>
      <c r="G158" s="5" t="str">
        <f t="shared" si="10"/>
        <v>BI_E2A_B</v>
      </c>
      <c r="H158" s="176"/>
      <c r="I158" s="164"/>
    </row>
    <row r="159" spans="1:9" s="1" customFormat="1" ht="28">
      <c r="A159" s="197" t="s">
        <v>359</v>
      </c>
      <c r="B159" s="196" t="str">
        <f>A159&amp;". What is the reason you don’t have a "&amp;REF!$A$2 &amp;"? " &amp;REF!B4</f>
        <v>BI.E2A.C. What is the reason you don’t have a Bank Savings Account? Don’t believe in product and service</v>
      </c>
      <c r="C159" s="196" t="s">
        <v>95</v>
      </c>
      <c r="D159" s="197" t="s">
        <v>31</v>
      </c>
      <c r="E159" s="197">
        <v>1</v>
      </c>
      <c r="F159" s="234" t="s">
        <v>2925</v>
      </c>
      <c r="G159" s="5" t="str">
        <f t="shared" si="10"/>
        <v>BI_E2A_C</v>
      </c>
      <c r="H159" s="176"/>
      <c r="I159" s="164"/>
    </row>
    <row r="160" spans="1:9" s="1" customFormat="1" ht="28">
      <c r="A160" s="197" t="s">
        <v>360</v>
      </c>
      <c r="B160" s="196" t="str">
        <f>A160&amp;". What is the reason you don’t have a "&amp;REF!$A$2 &amp;"? " &amp;REF!B5</f>
        <v>BI.E2A.D. What is the reason you don’t have a Bank Savings Account? The financial services office is too far away</v>
      </c>
      <c r="C160" s="196" t="s">
        <v>95</v>
      </c>
      <c r="D160" s="197" t="s">
        <v>31</v>
      </c>
      <c r="E160" s="197">
        <v>1</v>
      </c>
      <c r="F160" s="234" t="s">
        <v>2925</v>
      </c>
      <c r="G160" s="5" t="str">
        <f t="shared" si="10"/>
        <v>BI_E2A_D</v>
      </c>
      <c r="H160" s="176"/>
      <c r="I160" s="164"/>
    </row>
    <row r="161" spans="1:9" s="1" customFormat="1" ht="28">
      <c r="A161" s="197" t="s">
        <v>361</v>
      </c>
      <c r="B161" s="196" t="str">
        <f>A161&amp;". What is the reason you don’t have a "&amp;REF!$A$2 &amp;"? " &amp;REF!B6</f>
        <v>BI.E2A.E. What is the reason you don’t have a Bank Savings Account? The administration cost is too high</v>
      </c>
      <c r="C161" s="196" t="s">
        <v>95</v>
      </c>
      <c r="D161" s="197" t="s">
        <v>31</v>
      </c>
      <c r="E161" s="197">
        <v>1</v>
      </c>
      <c r="F161" s="234" t="s">
        <v>2925</v>
      </c>
      <c r="G161" s="5" t="str">
        <f t="shared" si="10"/>
        <v>BI_E2A_E</v>
      </c>
      <c r="H161" s="176"/>
      <c r="I161" s="164"/>
    </row>
    <row r="162" spans="1:9" s="1" customFormat="1" ht="28">
      <c r="A162" s="197" t="s">
        <v>362</v>
      </c>
      <c r="B162" s="196" t="str">
        <f>A162&amp;". What is the reason you don’t have a "&amp;REF!$A$2 &amp;"? " &amp;REF!B7</f>
        <v>BI.E2A.F. What is the reason you don’t have a Bank Savings Account? Don’t have enough money</v>
      </c>
      <c r="C162" s="196" t="s">
        <v>95</v>
      </c>
      <c r="D162" s="197" t="s">
        <v>31</v>
      </c>
      <c r="E162" s="197">
        <v>1</v>
      </c>
      <c r="F162" s="234" t="s">
        <v>2925</v>
      </c>
      <c r="G162" s="5" t="str">
        <f t="shared" si="10"/>
        <v>BI_E2A_F</v>
      </c>
      <c r="H162" s="176"/>
      <c r="I162" s="164"/>
    </row>
    <row r="163" spans="1:9" s="1" customFormat="1" ht="28">
      <c r="A163" s="197" t="s">
        <v>363</v>
      </c>
      <c r="B163" s="196" t="str">
        <f>A163&amp;". What is the reason you don’t have a "&amp;REF!$A$2 &amp;"? " &amp;REF!B8</f>
        <v>BI.E2A.G. What is the reason you don’t have a Bank Savings Account? Don’t have the required document</v>
      </c>
      <c r="C163" s="196" t="s">
        <v>95</v>
      </c>
      <c r="D163" s="197" t="s">
        <v>31</v>
      </c>
      <c r="E163" s="197">
        <v>1</v>
      </c>
      <c r="F163" s="234" t="s">
        <v>2925</v>
      </c>
      <c r="G163" s="5" t="str">
        <f t="shared" si="10"/>
        <v>BI_E2A_G</v>
      </c>
      <c r="H163" s="176"/>
      <c r="I163" s="164"/>
    </row>
    <row r="164" spans="1:9" s="1" customFormat="1" ht="28">
      <c r="A164" s="197" t="s">
        <v>364</v>
      </c>
      <c r="B164" s="196" t="str">
        <f>A164&amp;". What is the reason you don’t have a "&amp;REF!$A$2 &amp;"? " &amp;REF!B9</f>
        <v>BI.E2A.H. What is the reason you don’t have a Bank Savings Account? Bank officers don’t provide a good service</v>
      </c>
      <c r="C164" s="196" t="s">
        <v>95</v>
      </c>
      <c r="D164" s="197" t="s">
        <v>31</v>
      </c>
      <c r="E164" s="197">
        <v>1</v>
      </c>
      <c r="F164" s="234" t="s">
        <v>2925</v>
      </c>
      <c r="G164" s="5" t="str">
        <f t="shared" si="10"/>
        <v>BI_E2A_H</v>
      </c>
      <c r="H164" s="176"/>
      <c r="I164" s="164"/>
    </row>
    <row r="165" spans="1:9" s="1" customFormat="1" ht="28">
      <c r="A165" s="197" t="s">
        <v>365</v>
      </c>
      <c r="B165" s="196" t="str">
        <f>A165&amp;". What is the reason you don’t have a "&amp;REF!$A$2 &amp;"? " &amp;REF!B10</f>
        <v>BI.E2A.I. What is the reason you don’t have a Bank Savings Account? There are already household members who have financial product and service</v>
      </c>
      <c r="C165" s="196" t="s">
        <v>95</v>
      </c>
      <c r="D165" s="197" t="s">
        <v>31</v>
      </c>
      <c r="E165" s="197">
        <v>1</v>
      </c>
      <c r="F165" s="234" t="s">
        <v>2925</v>
      </c>
      <c r="G165" s="5" t="str">
        <f t="shared" si="10"/>
        <v>BI_E2A_I</v>
      </c>
      <c r="H165" s="176"/>
      <c r="I165" s="164"/>
    </row>
    <row r="166" spans="1:9" s="1" customFormat="1" ht="28">
      <c r="A166" s="197" t="s">
        <v>366</v>
      </c>
      <c r="B166" s="196" t="str">
        <f>A166&amp;". What is the reason you don’t have a "&amp;REF!$A$2 &amp;"? " &amp;REF!B11</f>
        <v>BI.E2A.J. What is the reason you don’t have a Bank Savings Account? Prefer to use cash</v>
      </c>
      <c r="C166" s="196" t="s">
        <v>95</v>
      </c>
      <c r="D166" s="197" t="s">
        <v>31</v>
      </c>
      <c r="E166" s="197">
        <v>1</v>
      </c>
      <c r="F166" s="234" t="s">
        <v>2925</v>
      </c>
      <c r="G166" s="5" t="str">
        <f t="shared" si="10"/>
        <v>BI_E2A_J</v>
      </c>
      <c r="H166" s="176"/>
      <c r="I166" s="164"/>
    </row>
    <row r="167" spans="1:9" s="1" customFormat="1" ht="28">
      <c r="A167" s="197" t="s">
        <v>367</v>
      </c>
      <c r="B167" s="196" t="str">
        <f>A167&amp;". What is the reason you don’t have a "&amp;REF!$A$2 &amp;"? " &amp;REF!B12</f>
        <v>BI.E2A.K. What is the reason you don’t have a Bank Savings Account? Don’t have enough information related to savings product</v>
      </c>
      <c r="C167" s="196" t="s">
        <v>95</v>
      </c>
      <c r="D167" s="197" t="s">
        <v>31</v>
      </c>
      <c r="E167" s="197">
        <v>1</v>
      </c>
      <c r="F167" s="234" t="s">
        <v>2925</v>
      </c>
      <c r="G167" s="5" t="str">
        <f t="shared" si="10"/>
        <v>BI_E2A_K</v>
      </c>
      <c r="H167" s="176"/>
      <c r="I167" s="164"/>
    </row>
    <row r="168" spans="1:9" s="1" customFormat="1" ht="28">
      <c r="A168" s="197" t="s">
        <v>368</v>
      </c>
      <c r="B168" s="196" t="str">
        <f>A168&amp;". What is the reason you don’t have a "&amp;REF!$A$2 &amp;"? " &amp;REF!B13</f>
        <v>BI.E2A.L. What is the reason you don’t have a Bank Savings Account? I never knew about the product</v>
      </c>
      <c r="C168" s="196" t="s">
        <v>95</v>
      </c>
      <c r="D168" s="197" t="s">
        <v>31</v>
      </c>
      <c r="E168" s="197">
        <v>1</v>
      </c>
      <c r="F168" s="234" t="s">
        <v>2925</v>
      </c>
      <c r="G168" s="5" t="str">
        <f t="shared" si="10"/>
        <v>BI_E2A_L</v>
      </c>
      <c r="H168" s="176"/>
      <c r="I168" s="164"/>
    </row>
    <row r="169" spans="1:9" s="1" customFormat="1" ht="28">
      <c r="A169" s="197" t="s">
        <v>369</v>
      </c>
      <c r="B169" s="196" t="str">
        <f>A169&amp;". What is the reason you don’t have a "&amp;REF!$A$2 &amp;"? " &amp;REF!B14</f>
        <v>BI.E2A.V. What is the reason you don’t have a Bank Savings Account? Other that I didn't mention</v>
      </c>
      <c r="C169" s="196" t="s">
        <v>95</v>
      </c>
      <c r="D169" s="197" t="s">
        <v>31</v>
      </c>
      <c r="E169" s="197">
        <v>1</v>
      </c>
      <c r="F169" s="234" t="s">
        <v>2925</v>
      </c>
      <c r="G169" s="5" t="str">
        <f t="shared" si="10"/>
        <v>BI_E2A_V</v>
      </c>
      <c r="H169" s="176"/>
      <c r="I169" s="164"/>
    </row>
    <row r="170" spans="1:9" s="1" customFormat="1">
      <c r="A170" s="197" t="s">
        <v>370</v>
      </c>
      <c r="B170" s="196" t="str">
        <f>A170&amp;". Please specify the other reason why you don't have a "&amp;REF!$A$2</f>
        <v>BI.E2A.V.96. Please specify the other reason why you don't have a Bank Savings Account</v>
      </c>
      <c r="C170" s="196" t="s">
        <v>11</v>
      </c>
      <c r="D170" s="197" t="s">
        <v>43</v>
      </c>
      <c r="E170" s="197">
        <v>50</v>
      </c>
      <c r="F170" s="6" t="s">
        <v>371</v>
      </c>
      <c r="G170" s="5" t="str">
        <f t="shared" si="10"/>
        <v>BI_E2A_V_96</v>
      </c>
      <c r="H170" s="176"/>
      <c r="I170" s="164"/>
    </row>
    <row r="171" spans="1:9" s="1" customFormat="1" ht="28">
      <c r="A171" s="197" t="s">
        <v>372</v>
      </c>
      <c r="B171" s="196" t="str">
        <f>A171&amp;". What is the reason you don’t have a "&amp;REF!$A$3 &amp;"? " &amp;REF!B2</f>
        <v>BI.E2B.A. What is the reason you don’t have a Bank Current Account? Religion</v>
      </c>
      <c r="C171" s="196" t="s">
        <v>95</v>
      </c>
      <c r="D171" s="197" t="s">
        <v>31</v>
      </c>
      <c r="E171" s="197">
        <v>1</v>
      </c>
      <c r="F171" s="234" t="s">
        <v>2926</v>
      </c>
      <c r="G171" s="5" t="str">
        <f t="shared" si="10"/>
        <v>BI_E2B_A</v>
      </c>
      <c r="H171" s="176"/>
      <c r="I171" s="164"/>
    </row>
    <row r="172" spans="1:9" s="1" customFormat="1" ht="28">
      <c r="A172" s="197" t="s">
        <v>373</v>
      </c>
      <c r="B172" s="196" t="str">
        <f>A172&amp;". What is the reason you don’t have a "&amp;REF!$A$3 &amp;"? " &amp;REF!B3</f>
        <v>BI.E2B.B. What is the reason you don’t have a Bank Current Account? Don’t need one</v>
      </c>
      <c r="C172" s="196" t="s">
        <v>95</v>
      </c>
      <c r="D172" s="197" t="s">
        <v>31</v>
      </c>
      <c r="E172" s="197">
        <v>1</v>
      </c>
      <c r="F172" s="234" t="s">
        <v>2926</v>
      </c>
      <c r="G172" s="5" t="str">
        <f t="shared" si="10"/>
        <v>BI_E2B_B</v>
      </c>
      <c r="H172" s="176"/>
      <c r="I172" s="164"/>
    </row>
    <row r="173" spans="1:9" s="1" customFormat="1" ht="28">
      <c r="A173" s="197" t="s">
        <v>374</v>
      </c>
      <c r="B173" s="196" t="str">
        <f>A173&amp;". What is the reason you don’t have a "&amp;REF!$A$3 &amp;"? " &amp;REF!B4</f>
        <v>BI.E2B.C. What is the reason you don’t have a Bank Current Account? Don’t believe in product and service</v>
      </c>
      <c r="C173" s="196" t="s">
        <v>95</v>
      </c>
      <c r="D173" s="197" t="s">
        <v>31</v>
      </c>
      <c r="E173" s="197">
        <v>1</v>
      </c>
      <c r="F173" s="234" t="s">
        <v>2926</v>
      </c>
      <c r="G173" s="5" t="str">
        <f t="shared" si="10"/>
        <v>BI_E2B_C</v>
      </c>
      <c r="H173" s="176"/>
      <c r="I173" s="164"/>
    </row>
    <row r="174" spans="1:9" s="1" customFormat="1" ht="28">
      <c r="A174" s="197" t="s">
        <v>375</v>
      </c>
      <c r="B174" s="196" t="str">
        <f>A174&amp;". What is the reason you don’t have a "&amp;REF!$A$3 &amp;"? " &amp;REF!B5</f>
        <v>BI.E2B.D. What is the reason you don’t have a Bank Current Account? The financial services office is too far away</v>
      </c>
      <c r="C174" s="196" t="s">
        <v>95</v>
      </c>
      <c r="D174" s="197" t="s">
        <v>31</v>
      </c>
      <c r="E174" s="197">
        <v>1</v>
      </c>
      <c r="F174" s="234" t="s">
        <v>2926</v>
      </c>
      <c r="G174" s="5" t="str">
        <f t="shared" si="10"/>
        <v>BI_E2B_D</v>
      </c>
      <c r="H174" s="176"/>
      <c r="I174" s="164"/>
    </row>
    <row r="175" spans="1:9" s="1" customFormat="1" ht="28">
      <c r="A175" s="197" t="s">
        <v>376</v>
      </c>
      <c r="B175" s="196" t="str">
        <f>A175&amp;". What is the reason you don’t have a "&amp;REF!$A$3 &amp;"? " &amp;REF!B6</f>
        <v>BI.E2B.E. What is the reason you don’t have a Bank Current Account? The administration cost is too high</v>
      </c>
      <c r="C175" s="196" t="s">
        <v>95</v>
      </c>
      <c r="D175" s="197" t="s">
        <v>31</v>
      </c>
      <c r="E175" s="197">
        <v>1</v>
      </c>
      <c r="F175" s="234" t="s">
        <v>2926</v>
      </c>
      <c r="G175" s="5" t="str">
        <f t="shared" si="10"/>
        <v>BI_E2B_E</v>
      </c>
      <c r="H175" s="176"/>
      <c r="I175" s="164"/>
    </row>
    <row r="176" spans="1:9" s="1" customFormat="1" ht="28">
      <c r="A176" s="197" t="s">
        <v>377</v>
      </c>
      <c r="B176" s="196" t="str">
        <f>A176&amp;". What is the reason you don’t have a "&amp;REF!$A$3 &amp;"? " &amp;REF!B7</f>
        <v>BI.E2B.F. What is the reason you don’t have a Bank Current Account? Don’t have enough money</v>
      </c>
      <c r="C176" s="196" t="s">
        <v>95</v>
      </c>
      <c r="D176" s="197" t="s">
        <v>31</v>
      </c>
      <c r="E176" s="197">
        <v>1</v>
      </c>
      <c r="F176" s="234" t="s">
        <v>2926</v>
      </c>
      <c r="G176" s="5" t="str">
        <f t="shared" si="10"/>
        <v>BI_E2B_F</v>
      </c>
      <c r="H176" s="176"/>
      <c r="I176" s="164"/>
    </row>
    <row r="177" spans="1:9" s="1" customFormat="1" ht="28">
      <c r="A177" s="197" t="s">
        <v>378</v>
      </c>
      <c r="B177" s="196" t="str">
        <f>A177&amp;". What is the reason you don’t have a "&amp;REF!$A$3 &amp;"? " &amp;REF!B8</f>
        <v>BI.E2B.G. What is the reason you don’t have a Bank Current Account? Don’t have the required document</v>
      </c>
      <c r="C177" s="196" t="s">
        <v>95</v>
      </c>
      <c r="D177" s="197" t="s">
        <v>31</v>
      </c>
      <c r="E177" s="197">
        <v>1</v>
      </c>
      <c r="F177" s="234" t="s">
        <v>2926</v>
      </c>
      <c r="G177" s="5" t="str">
        <f t="shared" si="10"/>
        <v>BI_E2B_G</v>
      </c>
      <c r="H177" s="176"/>
      <c r="I177" s="164"/>
    </row>
    <row r="178" spans="1:9" s="1" customFormat="1" ht="28">
      <c r="A178" s="197" t="s">
        <v>379</v>
      </c>
      <c r="B178" s="196" t="str">
        <f>A178&amp;". What is the reason you don’t have a "&amp;REF!$A$3 &amp;"? " &amp;REF!B9</f>
        <v>BI.E2B.H. What is the reason you don’t have a Bank Current Account? Bank officers don’t provide a good service</v>
      </c>
      <c r="C178" s="196" t="s">
        <v>95</v>
      </c>
      <c r="D178" s="197" t="s">
        <v>31</v>
      </c>
      <c r="E178" s="197">
        <v>1</v>
      </c>
      <c r="F178" s="234" t="s">
        <v>2926</v>
      </c>
      <c r="G178" s="5" t="str">
        <f t="shared" si="10"/>
        <v>BI_E2B_H</v>
      </c>
      <c r="H178" s="176"/>
      <c r="I178" s="164"/>
    </row>
    <row r="179" spans="1:9" s="1" customFormat="1" ht="28">
      <c r="A179" s="197" t="s">
        <v>380</v>
      </c>
      <c r="B179" s="196" t="str">
        <f>A179&amp;". What is the reason you don’t have a "&amp;REF!$A$3 &amp;"? " &amp;REF!B10</f>
        <v>BI.E2B.I. What is the reason you don’t have a Bank Current Account? There are already household members who have financial product and service</v>
      </c>
      <c r="C179" s="196" t="s">
        <v>95</v>
      </c>
      <c r="D179" s="197" t="s">
        <v>31</v>
      </c>
      <c r="E179" s="197">
        <v>1</v>
      </c>
      <c r="F179" s="234" t="s">
        <v>2926</v>
      </c>
      <c r="G179" s="5" t="str">
        <f t="shared" si="10"/>
        <v>BI_E2B_I</v>
      </c>
      <c r="H179" s="176"/>
      <c r="I179" s="164"/>
    </row>
    <row r="180" spans="1:9" s="1" customFormat="1" ht="28">
      <c r="A180" s="197" t="s">
        <v>381</v>
      </c>
      <c r="B180" s="196" t="str">
        <f>A180&amp;". What is the reason you don’t have a "&amp;REF!$A$3 &amp;"? " &amp;REF!B11</f>
        <v>BI.E2B.J. What is the reason you don’t have a Bank Current Account? Prefer to use cash</v>
      </c>
      <c r="C180" s="196" t="s">
        <v>95</v>
      </c>
      <c r="D180" s="197" t="s">
        <v>31</v>
      </c>
      <c r="E180" s="197">
        <v>1</v>
      </c>
      <c r="F180" s="234" t="s">
        <v>2926</v>
      </c>
      <c r="G180" s="5" t="str">
        <f t="shared" si="10"/>
        <v>BI_E2B_J</v>
      </c>
      <c r="H180" s="176"/>
      <c r="I180" s="164"/>
    </row>
    <row r="181" spans="1:9" s="1" customFormat="1" ht="28">
      <c r="A181" s="197" t="s">
        <v>382</v>
      </c>
      <c r="B181" s="196" t="str">
        <f>A181&amp;". What is the reason you don’t have a "&amp;REF!$A$3 &amp;"? " &amp;REF!B12</f>
        <v>BI.E2B.K. What is the reason you don’t have a Bank Current Account? Don’t have enough information related to savings product</v>
      </c>
      <c r="C181" s="196" t="s">
        <v>95</v>
      </c>
      <c r="D181" s="197" t="s">
        <v>31</v>
      </c>
      <c r="E181" s="197">
        <v>1</v>
      </c>
      <c r="F181" s="234" t="s">
        <v>2926</v>
      </c>
      <c r="G181" s="5" t="str">
        <f t="shared" si="10"/>
        <v>BI_E2B_K</v>
      </c>
      <c r="H181" s="176"/>
      <c r="I181" s="164"/>
    </row>
    <row r="182" spans="1:9" s="1" customFormat="1" ht="28">
      <c r="A182" s="197" t="s">
        <v>383</v>
      </c>
      <c r="B182" s="196" t="str">
        <f>A182&amp;". What is the reason you don’t have a "&amp;REF!$A$3 &amp;"? " &amp;REF!B13</f>
        <v>BI.E2B.L. What is the reason you don’t have a Bank Current Account? I never knew about the product</v>
      </c>
      <c r="C182" s="196" t="s">
        <v>95</v>
      </c>
      <c r="D182" s="197" t="s">
        <v>31</v>
      </c>
      <c r="E182" s="197">
        <v>1</v>
      </c>
      <c r="F182" s="234" t="s">
        <v>2926</v>
      </c>
      <c r="G182" s="5" t="str">
        <f t="shared" si="10"/>
        <v>BI_E2B_L</v>
      </c>
      <c r="H182" s="176"/>
      <c r="I182" s="164"/>
    </row>
    <row r="183" spans="1:9" s="1" customFormat="1" ht="28">
      <c r="A183" s="197" t="s">
        <v>384</v>
      </c>
      <c r="B183" s="196" t="str">
        <f>A183&amp;". What is the reason you don’t have a "&amp;REF!$A$3 &amp;"? " &amp;REF!B14</f>
        <v>BI.E2B.V. What is the reason you don’t have a Bank Current Account? Other that I didn't mention</v>
      </c>
      <c r="C183" s="196" t="s">
        <v>95</v>
      </c>
      <c r="D183" s="197" t="s">
        <v>31</v>
      </c>
      <c r="E183" s="197">
        <v>1</v>
      </c>
      <c r="F183" s="234" t="s">
        <v>2926</v>
      </c>
      <c r="G183" s="5" t="str">
        <f t="shared" si="10"/>
        <v>BI_E2B_V</v>
      </c>
      <c r="H183" s="176"/>
      <c r="I183" s="164"/>
    </row>
    <row r="184" spans="1:9" s="1" customFormat="1">
      <c r="A184" s="197" t="s">
        <v>385</v>
      </c>
      <c r="B184" s="196" t="str">
        <f>A184&amp;". Please specify the other reason why you don't have a "&amp;REF!$A$3</f>
        <v>BI.E2B.V.96. Please specify the other reason why you don't have a Bank Current Account</v>
      </c>
      <c r="C184" s="196" t="s">
        <v>11</v>
      </c>
      <c r="D184" s="197" t="s">
        <v>43</v>
      </c>
      <c r="E184" s="197">
        <v>50</v>
      </c>
      <c r="F184" s="6" t="s">
        <v>386</v>
      </c>
      <c r="G184" s="5" t="str">
        <f t="shared" ref="G184" si="12">SUBSTITUTE(A184,".","_")</f>
        <v>BI_E2B_V_96</v>
      </c>
      <c r="H184" s="176"/>
      <c r="I184" s="164"/>
    </row>
    <row r="185" spans="1:9" s="1" customFormat="1" ht="28">
      <c r="A185" s="197" t="s">
        <v>387</v>
      </c>
      <c r="B185" s="196" t="str">
        <f>A185&amp;". What is the reason you don’t have an account for "&amp;REF!$A$4 &amp;"? " &amp;REF!B2</f>
        <v>BI.E2C.A. What is the reason you don’t have an account for Bank Time Deposits? Religion</v>
      </c>
      <c r="C185" s="196" t="s">
        <v>95</v>
      </c>
      <c r="D185" s="197" t="s">
        <v>31</v>
      </c>
      <c r="E185" s="197">
        <v>1</v>
      </c>
      <c r="F185" s="234" t="s">
        <v>2927</v>
      </c>
      <c r="G185" s="5" t="str">
        <f t="shared" si="10"/>
        <v>BI_E2C_A</v>
      </c>
      <c r="H185" s="176"/>
      <c r="I185" s="164"/>
    </row>
    <row r="186" spans="1:9" s="1" customFormat="1" ht="28">
      <c r="A186" s="197" t="s">
        <v>388</v>
      </c>
      <c r="B186" s="196" t="str">
        <f>A186&amp;". What is the reason you don’t have an account for "&amp;REF!$A$4 &amp;"? " &amp;REF!B3</f>
        <v>BI.E2C.B. What is the reason you don’t have an account for Bank Time Deposits? Don’t need one</v>
      </c>
      <c r="C186" s="196" t="s">
        <v>95</v>
      </c>
      <c r="D186" s="197" t="s">
        <v>31</v>
      </c>
      <c r="E186" s="197">
        <v>1</v>
      </c>
      <c r="F186" s="234" t="s">
        <v>2927</v>
      </c>
      <c r="G186" s="5" t="str">
        <f t="shared" si="10"/>
        <v>BI_E2C_B</v>
      </c>
      <c r="H186" s="176"/>
      <c r="I186" s="164"/>
    </row>
    <row r="187" spans="1:9" s="1" customFormat="1" ht="28">
      <c r="A187" s="197" t="s">
        <v>389</v>
      </c>
      <c r="B187" s="196" t="str">
        <f>A187&amp;". What is the reason you don’t have an account for "&amp;REF!$A$4 &amp;"? " &amp;REF!B4</f>
        <v>BI.E2C.C. What is the reason you don’t have an account for Bank Time Deposits? Don’t believe in product and service</v>
      </c>
      <c r="C187" s="196" t="s">
        <v>95</v>
      </c>
      <c r="D187" s="197" t="s">
        <v>31</v>
      </c>
      <c r="E187" s="197">
        <v>1</v>
      </c>
      <c r="F187" s="234" t="s">
        <v>2927</v>
      </c>
      <c r="G187" s="5" t="str">
        <f t="shared" si="10"/>
        <v>BI_E2C_C</v>
      </c>
      <c r="H187" s="176"/>
      <c r="I187" s="164"/>
    </row>
    <row r="188" spans="1:9" s="1" customFormat="1" ht="28">
      <c r="A188" s="197" t="s">
        <v>390</v>
      </c>
      <c r="B188" s="196" t="str">
        <f>A188&amp;". What is the reason you don’t have an account for "&amp;REF!$A$4 &amp;"? " &amp;REF!B5</f>
        <v>BI.E2C.D. What is the reason you don’t have an account for Bank Time Deposits? The financial services office is too far away</v>
      </c>
      <c r="C188" s="196" t="s">
        <v>95</v>
      </c>
      <c r="D188" s="197" t="s">
        <v>31</v>
      </c>
      <c r="E188" s="197">
        <v>1</v>
      </c>
      <c r="F188" s="234" t="s">
        <v>2927</v>
      </c>
      <c r="G188" s="5" t="str">
        <f t="shared" si="10"/>
        <v>BI_E2C_D</v>
      </c>
      <c r="H188" s="176"/>
      <c r="I188" s="164"/>
    </row>
    <row r="189" spans="1:9" s="1" customFormat="1" ht="28">
      <c r="A189" s="197" t="s">
        <v>391</v>
      </c>
      <c r="B189" s="196" t="str">
        <f>A189&amp;". What is the reason you don’t have an account for "&amp;REF!$A$4 &amp;"? " &amp;REF!B6</f>
        <v>BI.E2C.E. What is the reason you don’t have an account for Bank Time Deposits? The administration cost is too high</v>
      </c>
      <c r="C189" s="196" t="s">
        <v>95</v>
      </c>
      <c r="D189" s="197" t="s">
        <v>31</v>
      </c>
      <c r="E189" s="197">
        <v>1</v>
      </c>
      <c r="F189" s="234" t="s">
        <v>2927</v>
      </c>
      <c r="G189" s="5" t="str">
        <f t="shared" si="10"/>
        <v>BI_E2C_E</v>
      </c>
      <c r="H189" s="176"/>
      <c r="I189" s="164"/>
    </row>
    <row r="190" spans="1:9" s="1" customFormat="1" ht="28">
      <c r="A190" s="197" t="s">
        <v>392</v>
      </c>
      <c r="B190" s="196" t="str">
        <f>A190&amp;". What is the reason you don’t have an account for "&amp;REF!$A$4 &amp;"? " &amp;REF!B7</f>
        <v>BI.E2C.F. What is the reason you don’t have an account for Bank Time Deposits? Don’t have enough money</v>
      </c>
      <c r="C190" s="196" t="s">
        <v>95</v>
      </c>
      <c r="D190" s="197" t="s">
        <v>31</v>
      </c>
      <c r="E190" s="197">
        <v>1</v>
      </c>
      <c r="F190" s="234" t="s">
        <v>2927</v>
      </c>
      <c r="G190" s="5" t="str">
        <f t="shared" si="10"/>
        <v>BI_E2C_F</v>
      </c>
      <c r="H190" s="176"/>
      <c r="I190" s="164"/>
    </row>
    <row r="191" spans="1:9" s="1" customFormat="1" ht="28">
      <c r="A191" s="197" t="s">
        <v>393</v>
      </c>
      <c r="B191" s="196" t="str">
        <f>A191&amp;". What is the reason you don’t have an account for "&amp;REF!$A$4 &amp;"? " &amp;REF!B8</f>
        <v>BI.E2C.G. What is the reason you don’t have an account for Bank Time Deposits? Don’t have the required document</v>
      </c>
      <c r="C191" s="196" t="s">
        <v>95</v>
      </c>
      <c r="D191" s="197" t="s">
        <v>31</v>
      </c>
      <c r="E191" s="197">
        <v>1</v>
      </c>
      <c r="F191" s="234" t="s">
        <v>2927</v>
      </c>
      <c r="G191" s="5" t="str">
        <f t="shared" si="10"/>
        <v>BI_E2C_G</v>
      </c>
      <c r="H191" s="176"/>
      <c r="I191" s="164"/>
    </row>
    <row r="192" spans="1:9" s="1" customFormat="1" ht="28">
      <c r="A192" s="197" t="s">
        <v>394</v>
      </c>
      <c r="B192" s="196" t="str">
        <f>A192&amp;". What is the reason you don’t have an account for "&amp;REF!$A$4 &amp;"? " &amp;REF!B9</f>
        <v>BI.E2C.H. What is the reason you don’t have an account for Bank Time Deposits? Bank officers don’t provide a good service</v>
      </c>
      <c r="C192" s="196" t="s">
        <v>95</v>
      </c>
      <c r="D192" s="197" t="s">
        <v>31</v>
      </c>
      <c r="E192" s="197">
        <v>1</v>
      </c>
      <c r="F192" s="234" t="s">
        <v>2927</v>
      </c>
      <c r="G192" s="5" t="str">
        <f t="shared" si="10"/>
        <v>BI_E2C_H</v>
      </c>
      <c r="H192" s="176"/>
      <c r="I192" s="164"/>
    </row>
    <row r="193" spans="1:9" s="1" customFormat="1" ht="28">
      <c r="A193" s="197" t="s">
        <v>395</v>
      </c>
      <c r="B193" s="196" t="str">
        <f>A193&amp;". What is the reason you don’t have an account for "&amp;REF!$A$4 &amp;"? " &amp;REF!B10</f>
        <v>BI.E2C.I. What is the reason you don’t have an account for Bank Time Deposits? There are already household members who have financial product and service</v>
      </c>
      <c r="C193" s="196" t="s">
        <v>95</v>
      </c>
      <c r="D193" s="197" t="s">
        <v>31</v>
      </c>
      <c r="E193" s="197">
        <v>1</v>
      </c>
      <c r="F193" s="234" t="s">
        <v>2927</v>
      </c>
      <c r="G193" s="5" t="str">
        <f t="shared" si="10"/>
        <v>BI_E2C_I</v>
      </c>
      <c r="H193" s="176"/>
      <c r="I193" s="164"/>
    </row>
    <row r="194" spans="1:9" s="1" customFormat="1" ht="28">
      <c r="A194" s="197" t="s">
        <v>396</v>
      </c>
      <c r="B194" s="196" t="str">
        <f>A194&amp;". What is the reason you don’t have an account for "&amp;REF!$A$4 &amp;"? " &amp;REF!B11</f>
        <v>BI.E2C.J. What is the reason you don’t have an account for Bank Time Deposits? Prefer to use cash</v>
      </c>
      <c r="C194" s="196" t="s">
        <v>95</v>
      </c>
      <c r="D194" s="197" t="s">
        <v>31</v>
      </c>
      <c r="E194" s="197">
        <v>1</v>
      </c>
      <c r="F194" s="234" t="s">
        <v>2927</v>
      </c>
      <c r="G194" s="5" t="str">
        <f t="shared" si="10"/>
        <v>BI_E2C_J</v>
      </c>
      <c r="H194" s="176"/>
      <c r="I194" s="164"/>
    </row>
    <row r="195" spans="1:9" s="1" customFormat="1" ht="28">
      <c r="A195" s="197" t="s">
        <v>397</v>
      </c>
      <c r="B195" s="196" t="str">
        <f>A195&amp;". What is the reason you don’t have an account for "&amp;REF!$A$4 &amp;"? " &amp;REF!B12</f>
        <v>BI.E2C.K. What is the reason you don’t have an account for Bank Time Deposits? Don’t have enough information related to savings product</v>
      </c>
      <c r="C195" s="196" t="s">
        <v>95</v>
      </c>
      <c r="D195" s="197" t="s">
        <v>31</v>
      </c>
      <c r="E195" s="197">
        <v>1</v>
      </c>
      <c r="F195" s="234" t="s">
        <v>2927</v>
      </c>
      <c r="G195" s="5" t="str">
        <f t="shared" si="10"/>
        <v>BI_E2C_K</v>
      </c>
      <c r="H195" s="176"/>
      <c r="I195" s="164"/>
    </row>
    <row r="196" spans="1:9" s="1" customFormat="1" ht="28">
      <c r="A196" s="197" t="s">
        <v>398</v>
      </c>
      <c r="B196" s="196" t="str">
        <f>A196&amp;". What is the reason you don’t have an account for "&amp;REF!$A$4 &amp;"? " &amp;REF!B13</f>
        <v>BI.E2C.L. What is the reason you don’t have an account for Bank Time Deposits? I never knew about the product</v>
      </c>
      <c r="C196" s="196" t="s">
        <v>95</v>
      </c>
      <c r="D196" s="197" t="s">
        <v>31</v>
      </c>
      <c r="E196" s="197">
        <v>1</v>
      </c>
      <c r="F196" s="234" t="s">
        <v>2927</v>
      </c>
      <c r="G196" s="5" t="str">
        <f t="shared" si="10"/>
        <v>BI_E2C_L</v>
      </c>
      <c r="H196" s="176"/>
      <c r="I196" s="164"/>
    </row>
    <row r="197" spans="1:9" s="1" customFormat="1" ht="28">
      <c r="A197" s="197" t="s">
        <v>399</v>
      </c>
      <c r="B197" s="196" t="str">
        <f>A197&amp;". What is the reason you don’t have an account for "&amp;REF!$A$4 &amp;"? " &amp;REF!B14</f>
        <v>BI.E2C.V. What is the reason you don’t have an account for Bank Time Deposits? Other that I didn't mention</v>
      </c>
      <c r="C197" s="196" t="s">
        <v>95</v>
      </c>
      <c r="D197" s="197" t="s">
        <v>31</v>
      </c>
      <c r="E197" s="197">
        <v>1</v>
      </c>
      <c r="F197" s="234" t="s">
        <v>2927</v>
      </c>
      <c r="G197" s="5" t="str">
        <f t="shared" si="10"/>
        <v>BI_E2C_V</v>
      </c>
      <c r="H197" s="176"/>
      <c r="I197" s="164"/>
    </row>
    <row r="198" spans="1:9" s="1" customFormat="1" ht="28">
      <c r="A198" s="197" t="s">
        <v>400</v>
      </c>
      <c r="B198" s="196" t="str">
        <f>A198&amp;". Please specify the other reason why you don't have an account for "&amp;REF!$A$4</f>
        <v>BI.E2C.V.96. Please specify the other reason why you don't have an account for Bank Time Deposits</v>
      </c>
      <c r="C198" s="196" t="s">
        <v>11</v>
      </c>
      <c r="D198" s="197" t="s">
        <v>43</v>
      </c>
      <c r="E198" s="197">
        <v>50</v>
      </c>
      <c r="F198" s="234" t="s">
        <v>2927</v>
      </c>
      <c r="G198" s="5" t="str">
        <f t="shared" si="10"/>
        <v>BI_E2C_V_96</v>
      </c>
      <c r="H198" s="176"/>
      <c r="I198" s="164"/>
    </row>
    <row r="199" spans="1:9" customFormat="1" ht="84">
      <c r="A199" s="34" t="s">
        <v>288</v>
      </c>
      <c r="B199" s="23" t="str">
        <f>A199&amp;". When was the last time you "&amp;OJK!A16&amp;"?"</f>
        <v>OJK14.1. When was the last time you put money in savings with a bank?</v>
      </c>
      <c r="C199" s="32" t="s">
        <v>289</v>
      </c>
      <c r="D199" s="22" t="s">
        <v>31</v>
      </c>
      <c r="E199" s="22">
        <v>1</v>
      </c>
      <c r="F199" s="44" t="s">
        <v>2836</v>
      </c>
      <c r="G199" s="22" t="str">
        <f t="shared" ref="G199:G211" si="13">SUBSTITUTE(A199,".","_")</f>
        <v>OJK14_1</v>
      </c>
      <c r="H199" s="188"/>
      <c r="I199" s="172"/>
    </row>
    <row r="200" spans="1:9" customFormat="1" ht="84">
      <c r="A200" s="34" t="s">
        <v>290</v>
      </c>
      <c r="B200" s="23" t="str">
        <f>A200&amp;". When was the last time you "&amp;OJK!A17&amp;"?"</f>
        <v>OJK14.2. When was the last time you put money in a time deposit account with a bank?</v>
      </c>
      <c r="C200" s="32" t="s">
        <v>289</v>
      </c>
      <c r="D200" s="22" t="s">
        <v>31</v>
      </c>
      <c r="E200" s="22">
        <v>1</v>
      </c>
      <c r="F200" s="44" t="s">
        <v>2837</v>
      </c>
      <c r="G200" s="22" t="str">
        <f t="shared" si="13"/>
        <v>OJK14_2</v>
      </c>
      <c r="H200" s="188"/>
      <c r="I200" s="172"/>
    </row>
    <row r="201" spans="1:9" customFormat="1" ht="84">
      <c r="A201" s="34" t="s">
        <v>291</v>
      </c>
      <c r="B201" s="23" t="str">
        <f>A201&amp;". When was the last time you "&amp;OJK!A18&amp;"?"</f>
        <v>OJK14.3. When was the last time you used a current account at a bank?</v>
      </c>
      <c r="C201" s="32" t="s">
        <v>289</v>
      </c>
      <c r="D201" s="22" t="s">
        <v>31</v>
      </c>
      <c r="E201" s="22">
        <v>1</v>
      </c>
      <c r="F201" s="44" t="s">
        <v>2838</v>
      </c>
      <c r="G201" s="22" t="str">
        <f t="shared" si="13"/>
        <v>OJK14_3</v>
      </c>
      <c r="H201" s="188"/>
      <c r="I201" s="172"/>
    </row>
    <row r="202" spans="1:9" customFormat="1" ht="84">
      <c r="A202" s="34" t="s">
        <v>292</v>
      </c>
      <c r="B202" s="23" t="str">
        <f>A202&amp;". When was the last time you "&amp;OJK!A19&amp;"?"</f>
        <v>OJK14.4. When was the last time you made a transfer using a bank?</v>
      </c>
      <c r="C202" s="32" t="s">
        <v>289</v>
      </c>
      <c r="D202" s="22" t="s">
        <v>31</v>
      </c>
      <c r="E202" s="22">
        <v>1</v>
      </c>
      <c r="F202" s="44" t="s">
        <v>2839</v>
      </c>
      <c r="G202" s="22" t="str">
        <f t="shared" si="13"/>
        <v>OJK14_4</v>
      </c>
      <c r="H202" s="188"/>
      <c r="I202" s="172"/>
    </row>
    <row r="203" spans="1:9" customFormat="1" ht="84">
      <c r="A203" s="34" t="s">
        <v>293</v>
      </c>
      <c r="B203" s="23" t="str">
        <f>A203&amp;". When was the last time you "&amp;OJK!A20&amp;"?"</f>
        <v>OJK14.5. When was the last time you took a loan with collateral or paid an installment on a loan/financing with collateral from a bank?</v>
      </c>
      <c r="C203" s="32" t="s">
        <v>289</v>
      </c>
      <c r="D203" s="22" t="s">
        <v>31</v>
      </c>
      <c r="E203" s="22">
        <v>1</v>
      </c>
      <c r="F203" s="44" t="s">
        <v>2832</v>
      </c>
      <c r="G203" s="22" t="str">
        <f t="shared" si="13"/>
        <v>OJK14_5</v>
      </c>
      <c r="H203" s="188"/>
      <c r="I203" s="172"/>
    </row>
    <row r="204" spans="1:9" customFormat="1" ht="84">
      <c r="A204" s="34" t="s">
        <v>294</v>
      </c>
      <c r="B204" s="23" t="str">
        <f>A204&amp;". When was the last time you "&amp;OJK!A21&amp;"?"</f>
        <v>OJK14.6. When was the last time you took a loan/financing without collateral or paid an installment on a loan/financing without collateral from a bank (e.g. vehicle loans and credit cards)?</v>
      </c>
      <c r="C204" s="32" t="s">
        <v>289</v>
      </c>
      <c r="D204" s="22" t="s">
        <v>31</v>
      </c>
      <c r="E204" s="22">
        <v>1</v>
      </c>
      <c r="F204" s="44" t="s">
        <v>2833</v>
      </c>
      <c r="G204" s="22" t="str">
        <f t="shared" si="13"/>
        <v>OJK14_6</v>
      </c>
      <c r="H204" s="188"/>
      <c r="I204" s="172"/>
    </row>
    <row r="205" spans="1:9" customFormat="1" ht="84">
      <c r="A205" s="34" t="s">
        <v>295</v>
      </c>
      <c r="B205" s="23" t="str">
        <f>A205&amp;". When was the last time you "&amp;OJK!A22&amp;"?"</f>
        <v>OJK14.7. When was the last time you took a loan from or paid an installment to a micro credit program (KUR) from a bank?</v>
      </c>
      <c r="C205" s="32" t="s">
        <v>289</v>
      </c>
      <c r="D205" s="22" t="s">
        <v>31</v>
      </c>
      <c r="E205" s="22">
        <v>1</v>
      </c>
      <c r="F205" s="44" t="s">
        <v>2834</v>
      </c>
      <c r="G205" s="22" t="str">
        <f t="shared" si="13"/>
        <v>OJK14_7</v>
      </c>
      <c r="H205" s="188"/>
      <c r="I205" s="172"/>
    </row>
    <row r="206" spans="1:9" customFormat="1" ht="84">
      <c r="A206" s="34" t="s">
        <v>296</v>
      </c>
      <c r="B206" s="23" t="str">
        <f>A206&amp;". When was the last time you "&amp;OJK!A23&amp;"?"</f>
        <v>OJK14.8. When was the last time you took a housing/apartment loan or paid an installment on a housing/apartment loan from a bank?</v>
      </c>
      <c r="C206" s="32" t="s">
        <v>289</v>
      </c>
      <c r="D206" s="22" t="s">
        <v>31</v>
      </c>
      <c r="E206" s="22">
        <v>1</v>
      </c>
      <c r="F206" s="44" t="s">
        <v>2835</v>
      </c>
      <c r="G206" s="22" t="str">
        <f t="shared" si="13"/>
        <v>OJK14_8</v>
      </c>
      <c r="H206" s="188"/>
      <c r="I206" s="172"/>
    </row>
    <row r="207" spans="1:9" customFormat="1" ht="84">
      <c r="A207" s="34" t="s">
        <v>297</v>
      </c>
      <c r="B207" s="23" t="str">
        <f>A207&amp;". When was the last time you "&amp;OJK!A24&amp;"?"</f>
        <v>OJK14.9. When was the last time you took a micro loan/financing or paid an installment on a micro loan/financing from a bank?</v>
      </c>
      <c r="C207" s="32" t="s">
        <v>289</v>
      </c>
      <c r="D207" s="22" t="s">
        <v>31</v>
      </c>
      <c r="E207" s="22">
        <v>1</v>
      </c>
      <c r="F207" s="44" t="s">
        <v>2840</v>
      </c>
      <c r="G207" s="22" t="str">
        <f t="shared" si="13"/>
        <v>OJK14_9</v>
      </c>
      <c r="H207" s="188"/>
      <c r="I207" s="172"/>
    </row>
    <row r="208" spans="1:9" customFormat="1" ht="84">
      <c r="A208" s="34" t="s">
        <v>298</v>
      </c>
      <c r="B208" s="23" t="str">
        <f>A208&amp;". When was the last time you "&amp;OJK!A25&amp;"?"</f>
        <v>OJK14.10. When was the last time you took a vehicle loan or paid and installment on a vehicle loan/financing from a bank?</v>
      </c>
      <c r="C208" s="32" t="s">
        <v>289</v>
      </c>
      <c r="D208" s="22" t="s">
        <v>31</v>
      </c>
      <c r="E208" s="22">
        <v>1</v>
      </c>
      <c r="F208" s="44" t="s">
        <v>2841</v>
      </c>
      <c r="G208" s="22" t="str">
        <f t="shared" si="13"/>
        <v>OJK14_10</v>
      </c>
      <c r="H208" s="188"/>
      <c r="I208" s="172"/>
    </row>
    <row r="209" spans="1:10" customFormat="1" ht="84">
      <c r="A209" s="34" t="s">
        <v>299</v>
      </c>
      <c r="B209" s="23" t="str">
        <f>A209&amp;". When was the last time you "&amp;OJK!A27&amp;"?"</f>
        <v>OJK14.12. When was the last time you used a fiduciary/Rahn?</v>
      </c>
      <c r="C209" s="32" t="s">
        <v>289</v>
      </c>
      <c r="D209" s="22" t="s">
        <v>31</v>
      </c>
      <c r="E209" s="22">
        <v>1</v>
      </c>
      <c r="F209" s="44" t="s">
        <v>2842</v>
      </c>
      <c r="G209" s="22" t="str">
        <f t="shared" si="13"/>
        <v>OJK14_12</v>
      </c>
      <c r="H209" s="190"/>
      <c r="I209" s="172"/>
    </row>
    <row r="210" spans="1:10" customFormat="1" ht="84">
      <c r="A210" s="34" t="s">
        <v>300</v>
      </c>
      <c r="B210" s="23" t="str">
        <f>A210&amp;". When was the last time you "&amp;OJK!A28&amp;"?"</f>
        <v>OJK14.13. When was the last time you got a lease/Ijarah or paid for a lease/Ijarah?</v>
      </c>
      <c r="C210" s="32" t="s">
        <v>289</v>
      </c>
      <c r="D210" s="22" t="s">
        <v>31</v>
      </c>
      <c r="E210" s="22">
        <v>1</v>
      </c>
      <c r="F210" s="44" t="s">
        <v>2843</v>
      </c>
      <c r="G210" s="22" t="str">
        <f t="shared" si="13"/>
        <v>OJK14_13</v>
      </c>
      <c r="H210" s="188"/>
      <c r="I210" s="172"/>
    </row>
    <row r="211" spans="1:10" ht="28">
      <c r="A211" s="197" t="s">
        <v>435</v>
      </c>
      <c r="B211" s="196" t="str">
        <f>A211&amp;". In the last 6 months, have you made a deposit through a " &amp;REF!E2 &amp;"?"</f>
        <v>BI.E9A. In the last 6 months, have you made a deposit through a Teller (Bank Counter)?</v>
      </c>
      <c r="C211" s="196" t="s">
        <v>95</v>
      </c>
      <c r="D211" s="197" t="s">
        <v>31</v>
      </c>
      <c r="E211" s="197">
        <v>1</v>
      </c>
      <c r="F211" s="201" t="s">
        <v>417</v>
      </c>
      <c r="G211" s="197" t="str">
        <f t="shared" si="13"/>
        <v>BI_E9A</v>
      </c>
      <c r="J211" s="1"/>
    </row>
    <row r="212" spans="1:10" ht="28">
      <c r="A212" s="197" t="s">
        <v>436</v>
      </c>
      <c r="B212" s="196" t="str">
        <f>A212&amp;". In the last 6 months, have you made a deposit through an " &amp;REF!E3 &amp;"?"</f>
        <v>BI.E9B. In the last 6 months, have you made a deposit through an ATM?</v>
      </c>
      <c r="C212" s="196" t="s">
        <v>95</v>
      </c>
      <c r="D212" s="197" t="s">
        <v>31</v>
      </c>
      <c r="E212" s="197">
        <v>1</v>
      </c>
      <c r="F212" s="201" t="s">
        <v>417</v>
      </c>
      <c r="G212" s="197" t="str">
        <f t="shared" ref="G212:G215" si="14">SUBSTITUTE(A212,".","_")</f>
        <v>BI_E9B</v>
      </c>
      <c r="J212" s="1"/>
    </row>
    <row r="213" spans="1:10" ht="28">
      <c r="A213" s="197" t="s">
        <v>437</v>
      </c>
      <c r="B213" s="196" t="str">
        <f>A213&amp;". In the last 6 months, have you made a deposit through a " &amp;REF!E4 &amp;"?"</f>
        <v>BI.E9C. In the last 6 months, have you made a deposit through a Layanan Keuangan Digital (LKD/Laku Pandai Agent?</v>
      </c>
      <c r="C213" s="196" t="s">
        <v>95</v>
      </c>
      <c r="D213" s="197" t="s">
        <v>31</v>
      </c>
      <c r="E213" s="197">
        <v>1</v>
      </c>
      <c r="F213" s="201" t="s">
        <v>417</v>
      </c>
      <c r="G213" s="197" t="str">
        <f t="shared" si="14"/>
        <v>BI_E9C</v>
      </c>
      <c r="J213" s="1"/>
    </row>
    <row r="214" spans="1:10" ht="28">
      <c r="A214" s="197" t="s">
        <v>438</v>
      </c>
      <c r="B214" s="196" t="str">
        <f>A214&amp;". In the last 6 months, have you made a deposit through " &amp;REF!E5 &amp;"?"</f>
        <v>BI.E9V. In the last 6 months, have you made a deposit through another way that I didn't mention?</v>
      </c>
      <c r="C214" s="196" t="s">
        <v>95</v>
      </c>
      <c r="D214" s="197" t="s">
        <v>31</v>
      </c>
      <c r="E214" s="197">
        <v>1</v>
      </c>
      <c r="F214" s="201" t="s">
        <v>417</v>
      </c>
      <c r="G214" s="197" t="str">
        <f t="shared" si="14"/>
        <v>BI_E9V</v>
      </c>
      <c r="J214" s="1"/>
    </row>
    <row r="215" spans="1:10">
      <c r="A215" s="197" t="s">
        <v>439</v>
      </c>
      <c r="B215" s="196" t="str">
        <f>A215&amp;". Please specify the other way you made a deposit?"</f>
        <v>BI.E9V.96. Please specify the other way you made a deposit?</v>
      </c>
      <c r="C215" s="196" t="s">
        <v>11</v>
      </c>
      <c r="D215" s="197" t="s">
        <v>43</v>
      </c>
      <c r="E215" s="197">
        <v>50</v>
      </c>
      <c r="F215" s="201" t="s">
        <v>440</v>
      </c>
      <c r="G215" s="197" t="str">
        <f t="shared" si="14"/>
        <v>BI_E9V_96</v>
      </c>
      <c r="J215" s="1"/>
    </row>
    <row r="216" spans="1:10" ht="28">
      <c r="A216" s="197" t="s">
        <v>441</v>
      </c>
      <c r="B216" s="196" t="str">
        <f>A216&amp;". In the last 6 months, how many times did you make a deposit through a "&amp;REF!E2&amp;"?"</f>
        <v>BI.E10A. In the last 6 months, how many times did you make a deposit through a Teller (Bank Counter)?</v>
      </c>
      <c r="C216" s="196" t="s">
        <v>442</v>
      </c>
      <c r="D216" s="197" t="s">
        <v>12</v>
      </c>
      <c r="E216" s="197">
        <v>2</v>
      </c>
      <c r="F216" s="201" t="s">
        <v>443</v>
      </c>
      <c r="G216" s="197" t="str">
        <f t="shared" ref="G216" si="15">SUBSTITUTE(A216,".","_")</f>
        <v>BI_E10A</v>
      </c>
      <c r="J216" s="1"/>
    </row>
    <row r="217" spans="1:10" s="1" customFormat="1">
      <c r="A217" s="197" t="s">
        <v>444</v>
      </c>
      <c r="B217" s="196" t="str">
        <f>A217&amp;". In the last 6 months, how many times did you make a deposit through a "&amp;REF!E3&amp;"?"</f>
        <v>BI.E10B. In the last 6 months, how many times did you make a deposit through a ATM?</v>
      </c>
      <c r="C217" s="196" t="s">
        <v>442</v>
      </c>
      <c r="D217" s="197" t="s">
        <v>12</v>
      </c>
      <c r="E217" s="197">
        <v>2</v>
      </c>
      <c r="F217" s="201" t="s">
        <v>445</v>
      </c>
      <c r="G217" s="197" t="str">
        <f t="shared" ref="G217:G218" si="16">SUBSTITUTE(A217,".","_")</f>
        <v>BI_E10B</v>
      </c>
      <c r="H217" s="175"/>
      <c r="I217" s="164"/>
    </row>
    <row r="218" spans="1:10" s="1" customFormat="1" ht="28">
      <c r="A218" s="197" t="s">
        <v>446</v>
      </c>
      <c r="B218" s="196" t="str">
        <f>A218&amp;". In the last 6 months, how many times did you make a deposit through a "&amp;REF!E4&amp;"?"</f>
        <v>BI.E10C. In the last 6 months, how many times did you make a deposit through a Layanan Keuangan Digital (LKD/Laku Pandai Agent?</v>
      </c>
      <c r="C218" s="196" t="s">
        <v>442</v>
      </c>
      <c r="D218" s="197" t="s">
        <v>12</v>
      </c>
      <c r="E218" s="197">
        <v>2</v>
      </c>
      <c r="F218" s="201" t="s">
        <v>447</v>
      </c>
      <c r="G218" s="197" t="str">
        <f t="shared" si="16"/>
        <v>BI_E10C</v>
      </c>
      <c r="H218" s="175"/>
      <c r="I218" s="164"/>
    </row>
    <row r="219" spans="1:10" s="1" customFormat="1" ht="28">
      <c r="A219" s="197" t="s">
        <v>448</v>
      </c>
      <c r="B219" s="196" t="str">
        <f>A219&amp;". In the last 6 months, how many times did you make a deposit through "&amp;REF!E5&amp;"?"</f>
        <v>BI.E10V. In the last 6 months, how many times did you make a deposit through another way that I didn't mention?</v>
      </c>
      <c r="C219" s="196" t="s">
        <v>442</v>
      </c>
      <c r="D219" s="197" t="s">
        <v>12</v>
      </c>
      <c r="E219" s="197">
        <v>2</v>
      </c>
      <c r="F219" s="201" t="s">
        <v>440</v>
      </c>
      <c r="G219" s="197" t="str">
        <f t="shared" ref="G219" si="17">SUBSTITUTE(A219,".","_")</f>
        <v>BI_E10V</v>
      </c>
      <c r="H219" s="175"/>
      <c r="I219" s="164"/>
    </row>
    <row r="220" spans="1:10" s="1" customFormat="1" ht="28">
      <c r="A220" s="197" t="s">
        <v>449</v>
      </c>
      <c r="B220" s="196" t="str">
        <f>A220&amp;". In the last 6 months, have you made a withdrawal through a " &amp;REF!E2 &amp;"?"</f>
        <v>BI.E11A. In the last 6 months, have you made a withdrawal through a Teller (Bank Counter)?</v>
      </c>
      <c r="C220" s="196" t="s">
        <v>95</v>
      </c>
      <c r="D220" s="197" t="s">
        <v>31</v>
      </c>
      <c r="E220" s="197">
        <v>1</v>
      </c>
      <c r="F220" s="201" t="s">
        <v>417</v>
      </c>
      <c r="G220" s="197" t="str">
        <f>SUBSTITUTE(A220,".","_")</f>
        <v>BI_E11A</v>
      </c>
      <c r="H220" s="175"/>
      <c r="I220" s="164"/>
    </row>
    <row r="221" spans="1:10" s="1" customFormat="1" ht="28">
      <c r="A221" s="197" t="s">
        <v>450</v>
      </c>
      <c r="B221" s="196" t="str">
        <f>A221&amp;". In the last 6 months, have you made a withdrawal through a " &amp;REF!E3 &amp;"?"</f>
        <v>BI.E11B. In the last 6 months, have you made a withdrawal through a ATM?</v>
      </c>
      <c r="C221" s="196" t="s">
        <v>95</v>
      </c>
      <c r="D221" s="197" t="s">
        <v>31</v>
      </c>
      <c r="E221" s="197">
        <v>1</v>
      </c>
      <c r="F221" s="201" t="s">
        <v>417</v>
      </c>
      <c r="G221" s="197" t="str">
        <f t="shared" ref="G221:G228" si="18">SUBSTITUTE(A221,".","_")</f>
        <v>BI_E11B</v>
      </c>
      <c r="H221" s="175"/>
      <c r="I221" s="164"/>
    </row>
    <row r="222" spans="1:10" s="1" customFormat="1" ht="28">
      <c r="A222" s="197" t="s">
        <v>451</v>
      </c>
      <c r="B222" s="196" t="str">
        <f>A222&amp;". In the last 6 months, have you made a withdrawal through a " &amp;REF!E4 &amp;"?"</f>
        <v>BI.E11C. In the last 6 months, have you made a withdrawal through a Layanan Keuangan Digital (LKD/Laku Pandai Agent?</v>
      </c>
      <c r="C222" s="196" t="s">
        <v>95</v>
      </c>
      <c r="D222" s="197" t="s">
        <v>31</v>
      </c>
      <c r="E222" s="197">
        <v>1</v>
      </c>
      <c r="F222" s="201" t="s">
        <v>417</v>
      </c>
      <c r="G222" s="197" t="str">
        <f t="shared" si="18"/>
        <v>BI_E11C</v>
      </c>
      <c r="H222" s="175"/>
      <c r="I222" s="164"/>
    </row>
    <row r="223" spans="1:10" s="1" customFormat="1" ht="28">
      <c r="A223" s="197" t="s">
        <v>452</v>
      </c>
      <c r="B223" s="196" t="str">
        <f>A223&amp;". In the last 6 months, have you made a withdrawal through " &amp;REF!E5 &amp;"?"</f>
        <v>BI.E11V. In the last 6 months, have you made a withdrawal through another way that I didn't mention?</v>
      </c>
      <c r="C223" s="196" t="s">
        <v>95</v>
      </c>
      <c r="D223" s="197" t="s">
        <v>31</v>
      </c>
      <c r="E223" s="197">
        <v>1</v>
      </c>
      <c r="F223" s="201" t="s">
        <v>417</v>
      </c>
      <c r="G223" s="197" t="str">
        <f t="shared" si="18"/>
        <v>BI_E11V</v>
      </c>
      <c r="H223" s="175"/>
      <c r="I223" s="164"/>
    </row>
    <row r="224" spans="1:10" s="1" customFormat="1">
      <c r="A224" s="197" t="s">
        <v>453</v>
      </c>
      <c r="B224" s="196" t="str">
        <f>A224&amp;". Please specify the other way you made a withdrawal"</f>
        <v>BI.E11V.96. Please specify the other way you made a withdrawal</v>
      </c>
      <c r="C224" s="196" t="s">
        <v>11</v>
      </c>
      <c r="D224" s="197" t="s">
        <v>43</v>
      </c>
      <c r="E224" s="197">
        <v>50</v>
      </c>
      <c r="F224" s="201" t="s">
        <v>454</v>
      </c>
      <c r="G224" s="197" t="str">
        <f t="shared" si="18"/>
        <v>BI_E11V_96</v>
      </c>
      <c r="H224" s="175"/>
      <c r="I224" s="164"/>
    </row>
    <row r="225" spans="1:10" s="1" customFormat="1" ht="28">
      <c r="A225" s="197" t="s">
        <v>455</v>
      </c>
      <c r="B225" s="196" t="str">
        <f>A225&amp;". In the last 6 months, how many times did you make a withdrawal through a " &amp;REF!E2&amp;"?"</f>
        <v>BI.E12A. In the last 6 months, how many times did you make a withdrawal through a Teller (Bank Counter)?</v>
      </c>
      <c r="C225" s="196" t="s">
        <v>442</v>
      </c>
      <c r="D225" s="197" t="s">
        <v>12</v>
      </c>
      <c r="E225" s="197">
        <v>2</v>
      </c>
      <c r="F225" s="201" t="s">
        <v>456</v>
      </c>
      <c r="G225" s="197" t="str">
        <f t="shared" si="18"/>
        <v>BI_E12A</v>
      </c>
      <c r="H225" s="175"/>
      <c r="I225" s="164"/>
    </row>
    <row r="226" spans="1:10" s="1" customFormat="1">
      <c r="A226" s="197" t="s">
        <v>457</v>
      </c>
      <c r="B226" s="196" t="str">
        <f>A226&amp;". In the last 6 months, how many times did you make a withdrawal through a " &amp;REF!E3&amp;"?"</f>
        <v>BI.E12B. In the last 6 months, how many times did you make a withdrawal through a ATM?</v>
      </c>
      <c r="C226" s="196" t="s">
        <v>442</v>
      </c>
      <c r="D226" s="197" t="s">
        <v>12</v>
      </c>
      <c r="E226" s="197">
        <v>2</v>
      </c>
      <c r="F226" s="201" t="s">
        <v>458</v>
      </c>
      <c r="G226" s="197" t="str">
        <f t="shared" si="18"/>
        <v>BI_E12B</v>
      </c>
      <c r="H226" s="175"/>
      <c r="I226" s="164"/>
    </row>
    <row r="227" spans="1:10" s="1" customFormat="1" ht="28">
      <c r="A227" s="197" t="s">
        <v>459</v>
      </c>
      <c r="B227" s="196" t="str">
        <f>A227&amp;". In the last 6 months, how many times did you make a withdrawal through a " &amp;REF!E4&amp;"?"</f>
        <v>BI.E12C. In the last 6 months, how many times did you make a withdrawal through a Layanan Keuangan Digital (LKD/Laku Pandai Agent?</v>
      </c>
      <c r="C227" s="196" t="s">
        <v>442</v>
      </c>
      <c r="D227" s="197" t="s">
        <v>12</v>
      </c>
      <c r="E227" s="197">
        <v>2</v>
      </c>
      <c r="F227" s="201" t="s">
        <v>460</v>
      </c>
      <c r="G227" s="197" t="str">
        <f t="shared" si="18"/>
        <v>BI_E12C</v>
      </c>
      <c r="H227" s="175"/>
      <c r="I227" s="164"/>
    </row>
    <row r="228" spans="1:10" s="1" customFormat="1" ht="28">
      <c r="A228" s="197" t="s">
        <v>461</v>
      </c>
      <c r="B228" s="196" t="str">
        <f>A228&amp;". In the last 6 months, how many times did you make a withdrawal through a " &amp;REF!E5&amp;"?"</f>
        <v>BI.E12V. In the last 6 months, how many times did you make a withdrawal through a another way that I didn't mention?</v>
      </c>
      <c r="C228" s="196" t="s">
        <v>442</v>
      </c>
      <c r="D228" s="197" t="s">
        <v>12</v>
      </c>
      <c r="E228" s="197">
        <v>2</v>
      </c>
      <c r="F228" s="201" t="s">
        <v>454</v>
      </c>
      <c r="G228" s="197" t="str">
        <f t="shared" si="18"/>
        <v>BI_E12V</v>
      </c>
      <c r="H228" s="175"/>
      <c r="I228" s="164"/>
    </row>
    <row r="229" spans="1:10" s="29" customFormat="1" ht="112">
      <c r="A229" s="200" t="s">
        <v>2826</v>
      </c>
      <c r="B229" s="23" t="str">
        <f>A229&amp;". Have you ever used a product or service of a Bank Perkreditan Rakyat (BPR)?"</f>
        <v>BPR1. Have you ever used a product or service of a Bank Perkreditan Rakyat (BPR)?</v>
      </c>
      <c r="C229" s="23" t="s">
        <v>125</v>
      </c>
      <c r="D229" s="22" t="s">
        <v>31</v>
      </c>
      <c r="E229" s="22">
        <v>1</v>
      </c>
      <c r="F229" s="23" t="s">
        <v>2818</v>
      </c>
      <c r="G229" s="22" t="str">
        <f>SUBSTITUTE(A229,".","_")</f>
        <v>BPR1</v>
      </c>
      <c r="H229" s="188"/>
      <c r="I229" s="172"/>
    </row>
    <row r="230" spans="1:10" s="29" customFormat="1" ht="28">
      <c r="A230" s="200" t="s">
        <v>2827</v>
      </c>
      <c r="B230" s="23" t="str">
        <f>A230&amp;". Have you only used a Bank Perkreditan Rakyat (BPR), or have you also used another type of bank?"</f>
        <v>BPR2. Have you only used a Bank Perkreditan Rakyat (BPR), or have you also used another type of bank?</v>
      </c>
      <c r="C230" s="23" t="s">
        <v>2819</v>
      </c>
      <c r="D230" s="22" t="s">
        <v>31</v>
      </c>
      <c r="E230" s="22">
        <v>1</v>
      </c>
      <c r="F230" s="217" t="s">
        <v>2918</v>
      </c>
      <c r="G230" s="22" t="str">
        <f>SUBSTITUTE(A230,".","_")</f>
        <v>BPR2</v>
      </c>
      <c r="H230" s="188"/>
      <c r="I230" s="172"/>
    </row>
    <row r="231" spans="1:10" s="29" customFormat="1" ht="42">
      <c r="A231" s="200" t="s">
        <v>2828</v>
      </c>
      <c r="B231" s="23" t="str">
        <f>A231&amp;". Does the Bank Perkreditan Rakyat (BPR) offer any of the following things: a debit/ATM card, credit card, electronic transfer to another account, or a website or mobile phone application?"</f>
        <v>BPR3. Does the Bank Perkreditan Rakyat (BPR) offer any of the following things: a debit/ATM card, credit card, electronic transfer to another account, or a website or mobile phone application?</v>
      </c>
      <c r="C231" s="23" t="s">
        <v>125</v>
      </c>
      <c r="D231" s="22" t="s">
        <v>31</v>
      </c>
      <c r="E231" s="22">
        <v>1</v>
      </c>
      <c r="F231" s="217" t="s">
        <v>2918</v>
      </c>
      <c r="G231" s="22" t="str">
        <f>SUBSTITUTE(A231,".","_")</f>
        <v>BPR3</v>
      </c>
      <c r="H231" s="188"/>
      <c r="I231" s="172"/>
    </row>
    <row r="232" spans="1:10">
      <c r="A232" s="235" t="s">
        <v>2845</v>
      </c>
      <c r="B232" s="236"/>
      <c r="C232" s="236"/>
      <c r="D232" s="194"/>
      <c r="E232" s="194"/>
      <c r="F232" s="194"/>
      <c r="G232" s="194"/>
      <c r="J232" s="1"/>
    </row>
    <row r="233" spans="1:10" ht="28">
      <c r="A233" s="197" t="s">
        <v>418</v>
      </c>
      <c r="B233" s="196" t="str">
        <f>A233&amp;". Did you know about the basic savings account (BSA) product before I just mentioned it?"</f>
        <v>BI.E4S. Did you know about the basic savings account (BSA) product before I just mentioned it?</v>
      </c>
      <c r="C233" s="196" t="s">
        <v>95</v>
      </c>
      <c r="D233" s="197" t="s">
        <v>31</v>
      </c>
      <c r="E233" s="197">
        <v>1</v>
      </c>
      <c r="F233" s="201" t="s">
        <v>13</v>
      </c>
      <c r="G233" s="197" t="str">
        <f t="shared" ref="G233:G244" si="19">SUBSTITUTE(A233,".","_")</f>
        <v>BI_E4S</v>
      </c>
      <c r="J233" s="1"/>
    </row>
    <row r="234" spans="1:10" ht="28">
      <c r="A234" s="197" t="s">
        <v>419</v>
      </c>
      <c r="B234" s="196" t="str">
        <f>A234&amp;". Do you currently have a basic savings account (BSA)?"</f>
        <v>BI.E5S. Do you currently have a basic savings account (BSA)?</v>
      </c>
      <c r="C234" s="196" t="s">
        <v>95</v>
      </c>
      <c r="D234" s="197" t="s">
        <v>31</v>
      </c>
      <c r="E234" s="197">
        <v>1</v>
      </c>
      <c r="F234" s="201" t="s">
        <v>420</v>
      </c>
      <c r="G234" s="197" t="str">
        <f t="shared" si="19"/>
        <v>BI_E5S</v>
      </c>
      <c r="J234" s="1"/>
    </row>
    <row r="235" spans="1:10" ht="28">
      <c r="A235" s="197" t="s">
        <v>421</v>
      </c>
      <c r="B235" s="196" t="str">
        <f>A235&amp;". Have you ever had a basic savings account (BSA)?"</f>
        <v>BI.E6S. Have you ever had a basic savings account (BSA)?</v>
      </c>
      <c r="C235" s="196" t="s">
        <v>95</v>
      </c>
      <c r="D235" s="197" t="s">
        <v>31</v>
      </c>
      <c r="E235" s="197">
        <v>1</v>
      </c>
      <c r="F235" s="201" t="s">
        <v>422</v>
      </c>
      <c r="G235" s="197" t="str">
        <f t="shared" si="19"/>
        <v>BI_E6S</v>
      </c>
      <c r="J235" s="1"/>
    </row>
    <row r="236" spans="1:10" ht="28">
      <c r="A236" s="197" t="s">
        <v>423</v>
      </c>
      <c r="B236" s="196" t="str">
        <f>A236&amp;". What is the reason you don't have a basic savings account (BSA)? "  &amp;REF!D2</f>
        <v>BI.E7SA. What is the reason you don't have a basic savings account (BSA)? Don’t need one</v>
      </c>
      <c r="C236" s="196" t="s">
        <v>95</v>
      </c>
      <c r="D236" s="197" t="s">
        <v>31</v>
      </c>
      <c r="E236" s="197">
        <v>1</v>
      </c>
      <c r="F236" s="201" t="s">
        <v>424</v>
      </c>
      <c r="G236" s="197" t="str">
        <f t="shared" si="19"/>
        <v>BI_E7SA</v>
      </c>
      <c r="J236" s="1"/>
    </row>
    <row r="237" spans="1:10" ht="28">
      <c r="A237" s="197" t="s">
        <v>425</v>
      </c>
      <c r="B237" s="196" t="str">
        <f>A237&amp;". What is the reason you don't have a basic savings account (BSA)? "  &amp;REF!D3</f>
        <v>BI.E7SB. What is the reason you don't have a basic savings account (BSA)? Don’t believe in BSA product</v>
      </c>
      <c r="C237" s="196" t="s">
        <v>95</v>
      </c>
      <c r="D237" s="197" t="s">
        <v>31</v>
      </c>
      <c r="E237" s="197">
        <v>1</v>
      </c>
      <c r="F237" s="201" t="s">
        <v>424</v>
      </c>
      <c r="G237" s="197" t="str">
        <f t="shared" si="19"/>
        <v>BI_E7SB</v>
      </c>
      <c r="J237" s="1"/>
    </row>
    <row r="238" spans="1:10" ht="28">
      <c r="A238" s="197" t="s">
        <v>426</v>
      </c>
      <c r="B238" s="196" t="str">
        <f>A238&amp;". What is the reason you don't have a basic savings account (BSA)? "  &amp;REF!D4</f>
        <v>BI.E7SC. What is the reason you don't have a basic savings account (BSA)? Bank officers don’t provide the information about BSA</v>
      </c>
      <c r="C238" s="196" t="s">
        <v>95</v>
      </c>
      <c r="D238" s="197" t="s">
        <v>31</v>
      </c>
      <c r="E238" s="197">
        <v>1</v>
      </c>
      <c r="F238" s="201" t="s">
        <v>424</v>
      </c>
      <c r="G238" s="197" t="str">
        <f t="shared" si="19"/>
        <v>BI_E7SC</v>
      </c>
      <c r="J238" s="1"/>
    </row>
    <row r="239" spans="1:10" ht="28">
      <c r="A239" s="197" t="s">
        <v>427</v>
      </c>
      <c r="B239" s="196" t="str">
        <f>A239&amp;". What is the reason you don't have a basic savings account (BSA)? "  &amp;REF!D5</f>
        <v>BI.E7SD. What is the reason you don't have a basic savings account (BSA)? Bank officers don’t offer the BSA</v>
      </c>
      <c r="C239" s="196" t="s">
        <v>95</v>
      </c>
      <c r="D239" s="197" t="s">
        <v>31</v>
      </c>
      <c r="E239" s="197">
        <v>1</v>
      </c>
      <c r="F239" s="201" t="s">
        <v>424</v>
      </c>
      <c r="G239" s="197" t="str">
        <f t="shared" si="19"/>
        <v>BI_E7SD</v>
      </c>
      <c r="J239" s="1"/>
    </row>
    <row r="240" spans="1:10" ht="28">
      <c r="A240" s="197" t="s">
        <v>428</v>
      </c>
      <c r="B240" s="196" t="str">
        <f>A240&amp;". What is the reason you don't have a basic savings account (BSA)? "  &amp;REF!D6</f>
        <v>BI.E7SE. What is the reason you don't have a basic savings account (BSA)? Don’t have enough information related to the BSA product</v>
      </c>
      <c r="C240" s="196" t="s">
        <v>95</v>
      </c>
      <c r="D240" s="197" t="s">
        <v>31</v>
      </c>
      <c r="E240" s="197">
        <v>1</v>
      </c>
      <c r="F240" s="201" t="s">
        <v>424</v>
      </c>
      <c r="G240" s="197" t="str">
        <f t="shared" si="19"/>
        <v>BI_E7SE</v>
      </c>
      <c r="J240" s="1"/>
    </row>
    <row r="241" spans="1:10" ht="28">
      <c r="A241" s="197" t="s">
        <v>429</v>
      </c>
      <c r="B241" s="196" t="str">
        <f>A241&amp;". What is the reason you don't have a basic savings account (BSA)? "  &amp;REF!D7</f>
        <v>BI.E7SF. What is the reason you don't have a basic savings account (BSA)? BSA features / facilities are incomplete</v>
      </c>
      <c r="C241" s="196" t="s">
        <v>95</v>
      </c>
      <c r="D241" s="197" t="s">
        <v>31</v>
      </c>
      <c r="E241" s="197">
        <v>1</v>
      </c>
      <c r="F241" s="201" t="s">
        <v>424</v>
      </c>
      <c r="G241" s="197" t="str">
        <f t="shared" si="19"/>
        <v>BI_E7SF</v>
      </c>
      <c r="J241" s="1"/>
    </row>
    <row r="242" spans="1:10" ht="28">
      <c r="A242" s="197" t="s">
        <v>430</v>
      </c>
      <c r="B242" s="196" t="str">
        <f>A242&amp;". What is the reason you don't have a basic savings account (BSA)? "  &amp;REF!D8</f>
        <v>BI.E7SV. What is the reason you don't have a basic savings account (BSA)? Other that I didn't mention</v>
      </c>
      <c r="C242" s="196" t="s">
        <v>95</v>
      </c>
      <c r="D242" s="197" t="s">
        <v>31</v>
      </c>
      <c r="E242" s="197">
        <v>1</v>
      </c>
      <c r="F242" s="201" t="s">
        <v>424</v>
      </c>
      <c r="G242" s="197" t="str">
        <f t="shared" si="19"/>
        <v>BI_E7SV</v>
      </c>
      <c r="J242" s="1"/>
    </row>
    <row r="243" spans="1:10" s="182" customFormat="1" ht="28">
      <c r="A243" s="204" t="s">
        <v>431</v>
      </c>
      <c r="B243" s="205" t="str">
        <f>A243&amp;". Please specify the other reason why you don't have a basic savings account (BSA)"</f>
        <v>BI.E7SV.96. Please specify the other reason why you don't have a basic savings account (BSA)</v>
      </c>
      <c r="C243" s="205" t="s">
        <v>11</v>
      </c>
      <c r="D243" s="204" t="s">
        <v>43</v>
      </c>
      <c r="E243" s="204">
        <v>50</v>
      </c>
      <c r="F243" s="206" t="s">
        <v>432</v>
      </c>
      <c r="G243" s="204" t="str">
        <f t="shared" si="19"/>
        <v>BI_E7SV_96</v>
      </c>
      <c r="H243" s="186"/>
      <c r="I243" s="187"/>
      <c r="J243" s="181"/>
    </row>
    <row r="244" spans="1:10" ht="42">
      <c r="A244" s="197" t="s">
        <v>433</v>
      </c>
      <c r="B244" s="196" t="str">
        <f>A244&amp;". Where did you open your basic savings account (BSA)?"</f>
        <v>BI.E8S. Where did you open your basic savings account (BSA)?</v>
      </c>
      <c r="C244" s="196" t="s">
        <v>2823</v>
      </c>
      <c r="D244" s="197" t="s">
        <v>31</v>
      </c>
      <c r="E244" s="197">
        <v>2</v>
      </c>
      <c r="F244" s="201" t="s">
        <v>434</v>
      </c>
      <c r="G244" s="197" t="str">
        <f t="shared" si="19"/>
        <v>BI_E8S</v>
      </c>
      <c r="J244" s="1"/>
    </row>
    <row r="245" spans="1:10" ht="42">
      <c r="A245" s="5" t="s">
        <v>462</v>
      </c>
      <c r="B245" s="6" t="str">
        <f>A245&amp;". In the last 6 months, have you saved with non-formal financial service providers (such as savings and loan groups, regular social gathering (arisan), individuals including friends and family, etc.)?"</f>
        <v>BI.E13. In the last 6 months, have you saved with non-formal financial service providers (such as savings and loan groups, regular social gathering (arisan), individuals including friends and family, etc.)?</v>
      </c>
      <c r="C245" s="6" t="s">
        <v>95</v>
      </c>
      <c r="D245" s="5" t="s">
        <v>31</v>
      </c>
      <c r="E245" s="5">
        <v>1</v>
      </c>
      <c r="F245" s="7" t="s">
        <v>357</v>
      </c>
      <c r="G245" s="5" t="str">
        <f>SUBSTITUTE(A245,".","_")</f>
        <v>BI_E13</v>
      </c>
      <c r="H245" s="191"/>
      <c r="J245" s="1"/>
    </row>
    <row r="246" spans="1:10">
      <c r="A246" s="235" t="s">
        <v>2846</v>
      </c>
      <c r="B246" s="236"/>
      <c r="C246" s="236"/>
      <c r="D246" s="236"/>
      <c r="E246" s="237"/>
      <c r="F246" s="7"/>
      <c r="G246" s="5"/>
      <c r="H246" s="191"/>
      <c r="J246" s="1"/>
    </row>
    <row r="247" spans="1:10" ht="28">
      <c r="A247" s="5" t="s">
        <v>463</v>
      </c>
      <c r="B247" s="6" t="str">
        <f>A247&amp;". Do you currently have a loan from a formal financial service provider, either personally or with other people?"</f>
        <v>BI.E14. Do you currently have a loan from a formal financial service provider, either personally or with other people?</v>
      </c>
      <c r="C247" s="6" t="s">
        <v>95</v>
      </c>
      <c r="D247" s="5" t="s">
        <v>31</v>
      </c>
      <c r="E247" s="5">
        <v>1</v>
      </c>
      <c r="F247" s="15" t="s">
        <v>13</v>
      </c>
      <c r="G247" s="13" t="str">
        <f t="shared" ref="G247" si="20">SUBSTITUTE(A247,".","_")</f>
        <v>BI_E14</v>
      </c>
      <c r="H247" s="191"/>
      <c r="J247" s="1"/>
    </row>
    <row r="248" spans="1:10" s="1" customFormat="1" ht="28">
      <c r="A248" s="5" t="s">
        <v>464</v>
      </c>
      <c r="B248" s="6" t="str">
        <f>A248&amp;". Have you ever taken a loan or borrowed money from a formal financial service provider?"</f>
        <v>BI.E16A. Have you ever taken a loan or borrowed money from a formal financial service provider?</v>
      </c>
      <c r="C248" s="6" t="s">
        <v>95</v>
      </c>
      <c r="D248" s="5" t="s">
        <v>31</v>
      </c>
      <c r="E248" s="5">
        <v>1</v>
      </c>
      <c r="F248" s="27" t="s">
        <v>465</v>
      </c>
      <c r="G248" s="13" t="str">
        <f t="shared" ref="G248" si="21">SUBSTITUTE(A248,".","_")</f>
        <v>BI_E16A</v>
      </c>
      <c r="H248" s="191"/>
      <c r="I248" s="164"/>
    </row>
    <row r="249" spans="1:10" s="1" customFormat="1" ht="42">
      <c r="A249" s="5" t="s">
        <v>466</v>
      </c>
      <c r="B249" s="6" t="str">
        <f>A249&amp;". Have you ever taken a loan or borrowed money from a formal financial service provider to buy basic and daily routine needs because you were running out of money?"</f>
        <v>BI.E16B. Have you ever taken a loan or borrowed money from a formal financial service provider to buy basic and daily routine needs because you were running out of money?</v>
      </c>
      <c r="C249" s="23" t="s">
        <v>467</v>
      </c>
      <c r="D249" s="5" t="s">
        <v>31</v>
      </c>
      <c r="E249" s="5">
        <v>1</v>
      </c>
      <c r="F249" s="15" t="s">
        <v>468</v>
      </c>
      <c r="G249" s="13" t="str">
        <f t="shared" ref="G249:G251" si="22">SUBSTITUTE(A249,".","_")</f>
        <v>BI_E16B</v>
      </c>
      <c r="H249" s="191"/>
      <c r="I249" s="164"/>
    </row>
    <row r="250" spans="1:10" s="1" customFormat="1" ht="42">
      <c r="A250" s="5" t="s">
        <v>469</v>
      </c>
      <c r="B250" s="6" t="str">
        <f>A250&amp;". Have you ever taken a loan or borrowed money from a formal financial service provider to repay a loan that you already had?"</f>
        <v>BI.E16C. Have you ever taken a loan or borrowed money from a formal financial service provider to repay a loan that you already had?</v>
      </c>
      <c r="C250" s="23" t="s">
        <v>467</v>
      </c>
      <c r="D250" s="5" t="s">
        <v>31</v>
      </c>
      <c r="E250" s="5">
        <v>1</v>
      </c>
      <c r="F250" s="15" t="s">
        <v>468</v>
      </c>
      <c r="G250" s="13" t="str">
        <f t="shared" si="22"/>
        <v>BI_E16C</v>
      </c>
      <c r="H250" s="191"/>
      <c r="I250" s="164"/>
    </row>
    <row r="251" spans="1:10" s="1" customFormat="1" ht="28">
      <c r="A251" s="230" t="s">
        <v>2921</v>
      </c>
      <c r="B251" s="229" t="str">
        <f>A251&amp;". Have you ever heard about online lending from companies like Danamas, Amartha, Investree, Modalku, Tanifund, or others?"</f>
        <v>ONL1. Have you ever heard about online lending from companies like Danamas, Amartha, Investree, Modalku, Tanifund, or others?</v>
      </c>
      <c r="C251" s="229" t="s">
        <v>125</v>
      </c>
      <c r="D251" s="230" t="s">
        <v>31</v>
      </c>
      <c r="E251" s="230">
        <v>1</v>
      </c>
      <c r="F251" s="231" t="s">
        <v>13</v>
      </c>
      <c r="G251" s="232" t="str">
        <f t="shared" si="22"/>
        <v>ONL1</v>
      </c>
      <c r="H251" s="191"/>
      <c r="I251" s="164"/>
    </row>
    <row r="252" spans="1:10" s="1" customFormat="1" ht="28">
      <c r="A252" s="230" t="s">
        <v>2922</v>
      </c>
      <c r="B252" s="229" t="str">
        <f>A252&amp;". Have you ever used online lending from companies like Danamas, Amartha, Investree, Modalku, Tanifund, or others?"</f>
        <v>ONL2. Have you ever used online lending from companies like Danamas, Amartha, Investree, Modalku, Tanifund, or others?</v>
      </c>
      <c r="C252" s="229" t="s">
        <v>125</v>
      </c>
      <c r="D252" s="230" t="s">
        <v>31</v>
      </c>
      <c r="E252" s="230">
        <v>1</v>
      </c>
      <c r="F252" s="231" t="s">
        <v>2923</v>
      </c>
      <c r="G252" s="232" t="str">
        <f t="shared" ref="G252" si="23">SUBSTITUTE(A252,".","_")</f>
        <v>ONL2</v>
      </c>
      <c r="H252" s="191"/>
      <c r="I252" s="164"/>
    </row>
    <row r="253" spans="1:10" s="1" customFormat="1" ht="42">
      <c r="A253" s="5" t="s">
        <v>470</v>
      </c>
      <c r="B253" s="23" t="str">
        <f>A253&amp;". Do you currently have a loan from informal financial service providers (such as friends, neighbors, stalls, regular social gathering (arisan), loan sharks /debt bonders / moneylenders, revolving fund programs / PNPM)?"</f>
        <v>BI.E17. Do you currently have a loan from informal financial service providers (such as friends, neighbors, stalls, regular social gathering (arisan), loan sharks /debt bonders / moneylenders, revolving fund programs / PNPM)?</v>
      </c>
      <c r="C253" s="23" t="s">
        <v>125</v>
      </c>
      <c r="D253" s="5" t="s">
        <v>31</v>
      </c>
      <c r="E253" s="5">
        <v>1</v>
      </c>
      <c r="F253" s="27" t="s">
        <v>13</v>
      </c>
      <c r="G253" s="13" t="str">
        <f t="shared" ref="G253:G257" si="24">SUBSTITUTE(A253,".","_")</f>
        <v>BI_E17</v>
      </c>
      <c r="H253" s="191"/>
      <c r="I253" s="164"/>
    </row>
    <row r="254" spans="1:10" s="1" customFormat="1" ht="28">
      <c r="A254" s="5" t="s">
        <v>471</v>
      </c>
      <c r="B254" s="23" t="str">
        <f>A254&amp;". Please specify from which informal financial service providers you currently have a loan?"</f>
        <v>BI.E17.96. Please specify from which informal financial service providers you currently have a loan?</v>
      </c>
      <c r="C254" s="23" t="s">
        <v>11</v>
      </c>
      <c r="D254" s="5" t="s">
        <v>43</v>
      </c>
      <c r="E254" s="5">
        <v>50</v>
      </c>
      <c r="F254" s="7" t="s">
        <v>472</v>
      </c>
      <c r="G254" s="5" t="str">
        <f t="shared" si="24"/>
        <v>BI_E17_96</v>
      </c>
      <c r="H254" s="175"/>
      <c r="I254" s="164"/>
    </row>
    <row r="255" spans="1:10" s="1" customFormat="1" ht="28">
      <c r="A255" s="5" t="s">
        <v>473</v>
      </c>
      <c r="B255" s="23" t="str">
        <f>A255&amp;". Have you ever taken a loan or borrowed money from a informal financial service provider?"</f>
        <v>BI.E18A. Have you ever taken a loan or borrowed money from a informal financial service provider?</v>
      </c>
      <c r="C255" s="23" t="s">
        <v>95</v>
      </c>
      <c r="D255" s="5" t="s">
        <v>31</v>
      </c>
      <c r="E255" s="5">
        <v>1</v>
      </c>
      <c r="F255" s="7" t="s">
        <v>474</v>
      </c>
      <c r="G255" s="13" t="str">
        <f t="shared" si="24"/>
        <v>BI_E18A</v>
      </c>
      <c r="H255" s="192"/>
      <c r="I255" s="164"/>
    </row>
    <row r="256" spans="1:10" s="25" customFormat="1" ht="28">
      <c r="A256" s="5" t="s">
        <v>475</v>
      </c>
      <c r="B256" s="23" t="str">
        <f>A256&amp;". Please specify from which informal financial service providers you have ever borrowed?"</f>
        <v>BI.E18.96. Please specify from which informal financial service providers you have ever borrowed?</v>
      </c>
      <c r="C256" s="23" t="s">
        <v>11</v>
      </c>
      <c r="D256" s="5" t="s">
        <v>43</v>
      </c>
      <c r="E256" s="5">
        <v>50</v>
      </c>
      <c r="F256" s="15" t="s">
        <v>476</v>
      </c>
      <c r="G256" s="13" t="str">
        <f t="shared" si="24"/>
        <v>BI_E18_96</v>
      </c>
      <c r="H256" s="175"/>
      <c r="I256" s="164"/>
      <c r="J256" s="1"/>
    </row>
    <row r="257" spans="1:9" s="1" customFormat="1" ht="42">
      <c r="A257" s="5" t="s">
        <v>477</v>
      </c>
      <c r="B257" s="23" t="str">
        <f>A257&amp;". Have you ever taken a loan or borrowed money from an informal financial service provider to repay a loan that you already had?"</f>
        <v>BI.E18C. Have you ever taken a loan or borrowed money from an informal financial service provider to repay a loan that you already had?</v>
      </c>
      <c r="C257" s="23" t="s">
        <v>467</v>
      </c>
      <c r="D257" s="5" t="s">
        <v>31</v>
      </c>
      <c r="E257" s="5">
        <v>1</v>
      </c>
      <c r="F257" s="15" t="s">
        <v>478</v>
      </c>
      <c r="G257" s="13" t="str">
        <f t="shared" si="24"/>
        <v>BI_E18C</v>
      </c>
      <c r="H257" s="175"/>
      <c r="I257" s="164"/>
    </row>
    <row r="258" spans="1:9" s="1" customFormat="1" ht="28">
      <c r="A258" s="219" t="s">
        <v>2909</v>
      </c>
      <c r="B258" s="217" t="str">
        <f>A258&amp;". How do you usually pay for your credit or loan?"</f>
        <v>BI.E19. How do you usually pay for your credit or loan?</v>
      </c>
      <c r="C258" s="217" t="s">
        <v>2910</v>
      </c>
      <c r="D258" s="5" t="s">
        <v>31</v>
      </c>
      <c r="E258" s="5">
        <v>1</v>
      </c>
      <c r="F258" s="7" t="s">
        <v>479</v>
      </c>
      <c r="G258" s="5" t="str">
        <f t="shared" ref="G258:G263" si="25">SUBSTITUTE(A258,".","_")</f>
        <v>BI_E19</v>
      </c>
      <c r="H258" s="175"/>
      <c r="I258" s="164"/>
    </row>
    <row r="259" spans="1:9" s="1" customFormat="1" ht="70">
      <c r="A259" s="5" t="s">
        <v>480</v>
      </c>
      <c r="B259" s="23" t="str">
        <f>A259&amp;". Among these statements, which one best suits your motivation for borrowing? "</f>
        <v xml:space="preserve">BI.E20. Among these statements, which one best suits your motivation for borrowing? </v>
      </c>
      <c r="C259" s="178" t="s">
        <v>481</v>
      </c>
      <c r="D259" s="5" t="s">
        <v>31</v>
      </c>
      <c r="E259" s="5">
        <v>1</v>
      </c>
      <c r="F259" s="7" t="s">
        <v>479</v>
      </c>
      <c r="G259" s="5" t="str">
        <f t="shared" si="25"/>
        <v>BI_E20</v>
      </c>
      <c r="H259" s="175"/>
      <c r="I259" s="164"/>
    </row>
    <row r="260" spans="1:9" s="1" customFormat="1" ht="70">
      <c r="A260" s="5" t="s">
        <v>482</v>
      </c>
      <c r="B260" s="23" t="str">
        <f>A260&amp;". Among these statements, which one best suits your condition about your loans? "</f>
        <v xml:space="preserve">BI.E21. Among these statements, which one best suits your condition about your loans? </v>
      </c>
      <c r="C260" s="178" t="s">
        <v>483</v>
      </c>
      <c r="D260" s="5" t="s">
        <v>31</v>
      </c>
      <c r="E260" s="5">
        <v>1</v>
      </c>
      <c r="F260" s="7" t="s">
        <v>479</v>
      </c>
      <c r="G260" s="5" t="str">
        <f t="shared" si="25"/>
        <v>BI_E21</v>
      </c>
      <c r="H260" s="193"/>
      <c r="I260" s="164"/>
    </row>
    <row r="261" spans="1:9" s="1" customFormat="1" ht="56">
      <c r="A261" s="5" t="s">
        <v>484</v>
      </c>
      <c r="B261" s="23" t="str">
        <f>A261&amp;". Compared to your total income each month, how much total debt /loan do you currently have? "</f>
        <v xml:space="preserve">BI.E22. Compared to your total income each month, how much total debt /loan do you currently have? </v>
      </c>
      <c r="C261" s="6" t="s">
        <v>485</v>
      </c>
      <c r="D261" s="5" t="s">
        <v>31</v>
      </c>
      <c r="E261" s="5">
        <v>1</v>
      </c>
      <c r="F261" s="21" t="s">
        <v>479</v>
      </c>
      <c r="G261" s="5" t="str">
        <f t="shared" si="25"/>
        <v>BI_E22</v>
      </c>
      <c r="H261" s="176"/>
      <c r="I261" s="164"/>
    </row>
    <row r="262" spans="1:9" s="1" customFormat="1" ht="168">
      <c r="A262" s="5" t="s">
        <v>486</v>
      </c>
      <c r="B262" s="23" t="str">
        <f>A262&amp;". What is the main reason you have not taken a loan from financial service providers, both formal and non-formal? "</f>
        <v xml:space="preserve">BI.E23. What is the main reason you have not taken a loan from financial service providers, both formal and non-formal? </v>
      </c>
      <c r="C262" s="6" t="s">
        <v>487</v>
      </c>
      <c r="D262" s="5" t="s">
        <v>31</v>
      </c>
      <c r="E262" s="5">
        <v>2</v>
      </c>
      <c r="F262" s="21" t="s">
        <v>488</v>
      </c>
      <c r="G262" s="5" t="str">
        <f t="shared" si="25"/>
        <v>BI_E23</v>
      </c>
      <c r="H262" s="176"/>
      <c r="I262" s="164"/>
    </row>
    <row r="263" spans="1:9" s="1" customFormat="1" ht="28">
      <c r="A263" s="5" t="s">
        <v>489</v>
      </c>
      <c r="B263" s="6" t="str">
        <f>A263&amp;". Please specify the other reason why you do not have loans at financial service providers, both formal and non-formal? "</f>
        <v xml:space="preserve">BI.E23.96. Please specify the other reason why you do not have loans at financial service providers, both formal and non-formal? </v>
      </c>
      <c r="C263" s="6" t="s">
        <v>11</v>
      </c>
      <c r="D263" s="5" t="s">
        <v>43</v>
      </c>
      <c r="E263" s="5">
        <v>50</v>
      </c>
      <c r="F263" s="7" t="s">
        <v>490</v>
      </c>
      <c r="G263" s="5" t="str">
        <f t="shared" si="25"/>
        <v>BI_E23_96</v>
      </c>
      <c r="H263" s="176"/>
      <c r="I263" s="164"/>
    </row>
    <row r="264" spans="1:9" customFormat="1" ht="28">
      <c r="A264" s="198" t="s">
        <v>240</v>
      </c>
      <c r="B264" s="217" t="str">
        <f>A264&amp;". Have you ever used any of the following products or services? "&amp;OJK!C2</f>
        <v>OJK3.1. Have you ever used any of the following products or services? Vehicle financing/leasing</v>
      </c>
      <c r="C264" s="196" t="s">
        <v>125</v>
      </c>
      <c r="D264" s="197" t="s">
        <v>31</v>
      </c>
      <c r="E264" s="197">
        <v>1</v>
      </c>
      <c r="F264" s="196" t="s">
        <v>13</v>
      </c>
      <c r="G264" s="197" t="str">
        <f t="shared" ref="G264:G276" si="26">SUBSTITUTE(A264,".","_")</f>
        <v>OJK3_1</v>
      </c>
      <c r="H264" s="188"/>
      <c r="I264" s="172"/>
    </row>
    <row r="265" spans="1:9" customFormat="1" ht="56">
      <c r="A265" s="198" t="str">
        <f>A264&amp;"A"</f>
        <v>OJK3.1A</v>
      </c>
      <c r="B265" s="217" t="str">
        <f>A265&amp;". Was that conventional or sharia, or have you used both conventional and sharia? "&amp;OJK!C2</f>
        <v>OJK3.1A. Was that conventional or sharia, or have you used both conventional and sharia? Vehicle financing/leasing</v>
      </c>
      <c r="C265" s="196" t="s">
        <v>193</v>
      </c>
      <c r="D265" s="197" t="s">
        <v>31</v>
      </c>
      <c r="E265" s="197">
        <v>2</v>
      </c>
      <c r="F265" s="196" t="s">
        <v>241</v>
      </c>
      <c r="G265" s="197" t="str">
        <f t="shared" si="26"/>
        <v>OJK3_1A</v>
      </c>
      <c r="H265" s="188"/>
      <c r="I265" s="172"/>
    </row>
    <row r="266" spans="1:9" customFormat="1" ht="28">
      <c r="A266" s="198" t="s">
        <v>242</v>
      </c>
      <c r="B266" s="217" t="str">
        <f>A266&amp;". Have you ever used any of the following products or services? "&amp;OJK!C3</f>
        <v>OJK3.2. Have you ever used any of the following products or services? Agricultural machinery and equipment financing</v>
      </c>
      <c r="C266" s="196" t="s">
        <v>125</v>
      </c>
      <c r="D266" s="197" t="s">
        <v>31</v>
      </c>
      <c r="E266" s="197">
        <v>1</v>
      </c>
      <c r="F266" s="196" t="s">
        <v>13</v>
      </c>
      <c r="G266" s="197" t="str">
        <f t="shared" si="26"/>
        <v>OJK3_2</v>
      </c>
      <c r="H266" s="188"/>
      <c r="I266" s="172"/>
    </row>
    <row r="267" spans="1:9" customFormat="1" ht="56">
      <c r="A267" s="198" t="str">
        <f>A266&amp;"A"</f>
        <v>OJK3.2A</v>
      </c>
      <c r="B267" s="217" t="str">
        <f>A267&amp;". Was that conventional or sharia, or have you used both conventional and sharia? "&amp;OJK!C3</f>
        <v>OJK3.2A. Was that conventional or sharia, or have you used both conventional and sharia? Agricultural machinery and equipment financing</v>
      </c>
      <c r="C267" s="196" t="s">
        <v>193</v>
      </c>
      <c r="D267" s="197" t="s">
        <v>31</v>
      </c>
      <c r="E267" s="197">
        <v>2</v>
      </c>
      <c r="F267" s="196" t="s">
        <v>243</v>
      </c>
      <c r="G267" s="197" t="str">
        <f t="shared" si="26"/>
        <v>OJK3_2A</v>
      </c>
      <c r="H267" s="188"/>
      <c r="I267" s="172"/>
    </row>
    <row r="268" spans="1:9" customFormat="1" ht="28">
      <c r="A268" s="198" t="s">
        <v>244</v>
      </c>
      <c r="B268" s="217" t="str">
        <f>A268&amp;". Have you ever used any of the following products or services? "&amp;OJK!C4</f>
        <v>OJK3.3. Have you ever used any of the following products or services? Electronics and households appliance financing</v>
      </c>
      <c r="C268" s="196" t="s">
        <v>125</v>
      </c>
      <c r="D268" s="197" t="s">
        <v>31</v>
      </c>
      <c r="E268" s="197">
        <v>1</v>
      </c>
      <c r="F268" s="196" t="s">
        <v>13</v>
      </c>
      <c r="G268" s="197" t="str">
        <f t="shared" si="26"/>
        <v>OJK3_3</v>
      </c>
      <c r="H268" s="188"/>
      <c r="I268" s="172"/>
    </row>
    <row r="269" spans="1:9" customFormat="1" ht="56">
      <c r="A269" s="198" t="str">
        <f>A268&amp;"A"</f>
        <v>OJK3.3A</v>
      </c>
      <c r="B269" s="217" t="str">
        <f>A269&amp;". Was that conventional or sharia, or have you used both conventional and sharia? "&amp;OJK!C4</f>
        <v>OJK3.3A. Was that conventional or sharia, or have you used both conventional and sharia? Electronics and households appliance financing</v>
      </c>
      <c r="C269" s="196" t="s">
        <v>193</v>
      </c>
      <c r="D269" s="197" t="s">
        <v>31</v>
      </c>
      <c r="E269" s="197">
        <v>2</v>
      </c>
      <c r="F269" s="196" t="s">
        <v>245</v>
      </c>
      <c r="G269" s="197" t="str">
        <f t="shared" si="26"/>
        <v>OJK3_3A</v>
      </c>
      <c r="H269" s="188"/>
      <c r="I269" s="172"/>
    </row>
    <row r="270" spans="1:9" customFormat="1" ht="28">
      <c r="A270" s="198" t="s">
        <v>246</v>
      </c>
      <c r="B270" s="217" t="str">
        <f>A270&amp;". Have you ever used any of the following products or services? "&amp;OJK!C5</f>
        <v xml:space="preserve">OJK3.4. Have you ever used any of the following products or services? Another lease (finance lease) </v>
      </c>
      <c r="C270" s="196" t="s">
        <v>125</v>
      </c>
      <c r="D270" s="197" t="s">
        <v>31</v>
      </c>
      <c r="E270" s="197">
        <v>1</v>
      </c>
      <c r="F270" s="196" t="s">
        <v>13</v>
      </c>
      <c r="G270" s="197" t="str">
        <f t="shared" si="26"/>
        <v>OJK3_4</v>
      </c>
      <c r="H270" s="188"/>
      <c r="I270" s="172"/>
    </row>
    <row r="271" spans="1:9" customFormat="1" ht="56">
      <c r="A271" s="198" t="str">
        <f>A270&amp;"A"</f>
        <v>OJK3.4A</v>
      </c>
      <c r="B271" s="217" t="str">
        <f>A271&amp;". Was that conventional or sharia, or have you used both conventional and sharia? "&amp;OJK!C5</f>
        <v xml:space="preserve">OJK3.4A. Was that conventional or sharia, or have you used both conventional and sharia? Another lease (finance lease) </v>
      </c>
      <c r="C271" s="196" t="s">
        <v>193</v>
      </c>
      <c r="D271" s="197" t="s">
        <v>31</v>
      </c>
      <c r="E271" s="197">
        <v>2</v>
      </c>
      <c r="F271" s="196" t="s">
        <v>247</v>
      </c>
      <c r="G271" s="197" t="str">
        <f t="shared" si="26"/>
        <v>OJK3_4A</v>
      </c>
      <c r="H271" s="188"/>
      <c r="I271" s="172"/>
    </row>
    <row r="272" spans="1:9" customFormat="1" ht="28">
      <c r="A272" s="198" t="s">
        <v>248</v>
      </c>
      <c r="B272" s="217" t="str">
        <f>A272&amp;". Have you ever used any of the following products or services? "&amp;OJK!C6</f>
        <v xml:space="preserve">OJK3.5. Have you ever used any of the following products or services? Another product or service that I didn't mention </v>
      </c>
      <c r="C272" s="196" t="s">
        <v>125</v>
      </c>
      <c r="D272" s="197" t="s">
        <v>31</v>
      </c>
      <c r="E272" s="197">
        <v>1</v>
      </c>
      <c r="F272" s="196" t="s">
        <v>13</v>
      </c>
      <c r="G272" s="197" t="str">
        <f t="shared" si="26"/>
        <v>OJK3_5</v>
      </c>
      <c r="H272" s="188"/>
      <c r="I272" s="172"/>
    </row>
    <row r="273" spans="1:10" customFormat="1" ht="84">
      <c r="A273" s="34" t="s">
        <v>311</v>
      </c>
      <c r="B273" s="23" t="str">
        <f>A273&amp;". When was the last time you "&amp;OJK!C7&amp;"?"</f>
        <v>OJK16.1. When was the last time you received financing or paid an installment for vehicle financing/leasing from a financing company/multifinance?</v>
      </c>
      <c r="C273" s="32" t="s">
        <v>289</v>
      </c>
      <c r="D273" s="22" t="s">
        <v>31</v>
      </c>
      <c r="E273" s="22">
        <v>1</v>
      </c>
      <c r="F273" s="23" t="s">
        <v>241</v>
      </c>
      <c r="G273" s="22" t="str">
        <f t="shared" si="26"/>
        <v>OJK16_1</v>
      </c>
      <c r="H273" s="188"/>
      <c r="I273" s="172"/>
    </row>
    <row r="274" spans="1:10" customFormat="1" ht="84">
      <c r="A274" s="34" t="s">
        <v>312</v>
      </c>
      <c r="B274" s="23" t="str">
        <f>A274&amp;". When was the last time you "&amp;OJK!C8&amp;"?"</f>
        <v>OJK16.2. When was the last time you received financing or paid an installment for agricultural machinery and equipment financing from a financing company/multifinance?</v>
      </c>
      <c r="C274" s="32" t="s">
        <v>289</v>
      </c>
      <c r="D274" s="22" t="s">
        <v>31</v>
      </c>
      <c r="E274" s="22">
        <v>1</v>
      </c>
      <c r="F274" s="23" t="s">
        <v>243</v>
      </c>
      <c r="G274" s="22" t="str">
        <f t="shared" si="26"/>
        <v>OJK16_2</v>
      </c>
      <c r="H274" s="188"/>
      <c r="I274" s="172"/>
    </row>
    <row r="275" spans="1:10" customFormat="1" ht="84">
      <c r="A275" s="34" t="s">
        <v>313</v>
      </c>
      <c r="B275" s="23" t="str">
        <f>A275&amp;". When was the last time you "&amp;OJK!C9&amp;"?"</f>
        <v>OJK16.3. When was the last time you received financing or paid an installment for electronics and households appliance financing from a financing company/multifinance?</v>
      </c>
      <c r="C275" s="32" t="s">
        <v>289</v>
      </c>
      <c r="D275" s="22" t="s">
        <v>31</v>
      </c>
      <c r="E275" s="22">
        <v>1</v>
      </c>
      <c r="F275" s="23" t="s">
        <v>245</v>
      </c>
      <c r="G275" s="22" t="str">
        <f t="shared" si="26"/>
        <v>OJK16_3</v>
      </c>
      <c r="H275" s="188"/>
      <c r="I275" s="172"/>
    </row>
    <row r="276" spans="1:10" customFormat="1" ht="84">
      <c r="A276" s="34" t="s">
        <v>314</v>
      </c>
      <c r="B276" s="23" t="str">
        <f>A276&amp;". When was the last time you "&amp;OJK!C10&amp;"?"</f>
        <v>OJK16.4. When was the last time you received another lease or paid an installment for another lease (finance lease) from a financing company/multifinance?</v>
      </c>
      <c r="C276" s="32" t="s">
        <v>289</v>
      </c>
      <c r="D276" s="22" t="s">
        <v>31</v>
      </c>
      <c r="E276" s="22">
        <v>1</v>
      </c>
      <c r="F276" s="23" t="s">
        <v>247</v>
      </c>
      <c r="G276" s="22" t="str">
        <f t="shared" si="26"/>
        <v>OJK16_4</v>
      </c>
      <c r="H276" s="188"/>
      <c r="I276" s="172"/>
    </row>
    <row r="277" spans="1:10" s="1" customFormat="1" ht="13">
      <c r="A277" s="238" t="s">
        <v>2847</v>
      </c>
      <c r="B277" s="239"/>
      <c r="C277" s="239"/>
      <c r="D277" s="239"/>
      <c r="E277" s="239"/>
      <c r="F277" s="239"/>
      <c r="G277" s="240"/>
      <c r="H277" s="176"/>
      <c r="I277" s="164"/>
    </row>
    <row r="278" spans="1:10" s="1" customFormat="1" ht="28">
      <c r="A278" s="5" t="s">
        <v>491</v>
      </c>
      <c r="B278" s="23" t="str">
        <f>A278&amp;". Do you know what is an " &amp;REF!G2 &amp;"?"</f>
        <v>BI.E24A. Do you know what is an ATM Card / Debit Card?</v>
      </c>
      <c r="C278" s="6" t="s">
        <v>125</v>
      </c>
      <c r="D278" s="5" t="s">
        <v>31</v>
      </c>
      <c r="E278" s="9">
        <v>1</v>
      </c>
      <c r="F278" s="11" t="s">
        <v>13</v>
      </c>
      <c r="G278" s="5" t="str">
        <f t="shared" ref="G278" si="27">SUBSTITUTE(A278,".","_")</f>
        <v>BI_E24A</v>
      </c>
      <c r="H278" s="176"/>
      <c r="I278" s="164"/>
    </row>
    <row r="279" spans="1:10" s="1" customFormat="1" ht="28">
      <c r="A279" s="22" t="s">
        <v>492</v>
      </c>
      <c r="B279" s="23" t="str">
        <f>A279&amp;". Do you know what is a " &amp;REF!G3 &amp;"?"</f>
        <v>BI.E24B. Do you know what is a Credit Cards (Primary and Complement Card)?</v>
      </c>
      <c r="C279" s="23" t="s">
        <v>125</v>
      </c>
      <c r="D279" s="22" t="s">
        <v>31</v>
      </c>
      <c r="E279" s="24">
        <v>1</v>
      </c>
      <c r="F279" s="177" t="s">
        <v>13</v>
      </c>
      <c r="G279" s="22" t="str">
        <f t="shared" ref="G279:G280" si="28">SUBSTITUTE(A279,".","_")</f>
        <v>BI_E24B</v>
      </c>
      <c r="H279" s="176"/>
      <c r="I279" s="164"/>
    </row>
    <row r="280" spans="1:10" s="25" customFormat="1" ht="28">
      <c r="A280" s="22" t="s">
        <v>493</v>
      </c>
      <c r="B280" s="21" t="str">
        <f>A280&amp;". Do you know what is "&amp;REF!G4 &amp;"?"</f>
        <v>BI.E24C. Do you know what is card based electronic money (such as: Flazz, BRIzzi, E-money, E-toll, Indomaret card, Alfamart card, etc.)?</v>
      </c>
      <c r="C280" s="23" t="s">
        <v>125</v>
      </c>
      <c r="D280" s="22" t="s">
        <v>31</v>
      </c>
      <c r="E280" s="24">
        <v>1</v>
      </c>
      <c r="F280" s="177" t="s">
        <v>13</v>
      </c>
      <c r="G280" s="22" t="str">
        <f t="shared" si="28"/>
        <v>BI_E24C</v>
      </c>
      <c r="H280" s="176"/>
      <c r="I280" s="164"/>
    </row>
    <row r="281" spans="1:10" s="25" customFormat="1" ht="28">
      <c r="A281" s="219" t="s">
        <v>2886</v>
      </c>
      <c r="B281" s="21" t="str">
        <f>A281&amp;". Do you know what is "&amp;REF!G5 &amp;"?"</f>
        <v>BI.E24D. Do you know what is server based electronic money (such as: e-cash, Go-Pay, OVO, Tap Cash, T-cash, XL Tunai, Dompetku, Rekening Ponsel, etc.)?</v>
      </c>
      <c r="C281" s="23" t="s">
        <v>125</v>
      </c>
      <c r="D281" s="22" t="s">
        <v>31</v>
      </c>
      <c r="E281" s="24">
        <v>1</v>
      </c>
      <c r="F281" s="177" t="s">
        <v>13</v>
      </c>
      <c r="G281" s="22" t="str">
        <f t="shared" ref="G281" si="29">SUBSTITUTE(A281,".","_")</f>
        <v>BI_E24D</v>
      </c>
      <c r="H281" s="176"/>
      <c r="I281" s="164"/>
    </row>
    <row r="282" spans="1:10" s="26" customFormat="1" ht="28">
      <c r="A282" s="22" t="s">
        <v>494</v>
      </c>
      <c r="B282" s="23" t="str">
        <f>A282&amp;". Have you ever used "&amp;REF!G2 &amp;" in your own name for transactions?"</f>
        <v>BI.E25A. Have you ever used ATM Card / Debit Card in your own name for transactions?</v>
      </c>
      <c r="C282" s="23" t="s">
        <v>125</v>
      </c>
      <c r="D282" s="22" t="s">
        <v>31</v>
      </c>
      <c r="E282" s="24">
        <v>1</v>
      </c>
      <c r="F282" s="177" t="s">
        <v>495</v>
      </c>
      <c r="G282" s="22" t="str">
        <f>SUBSTITUTE(A282,".","_")</f>
        <v>BI_E25A</v>
      </c>
      <c r="H282" s="176"/>
      <c r="I282" s="163"/>
      <c r="J282" s="25"/>
    </row>
    <row r="283" spans="1:10" s="26" customFormat="1" ht="28">
      <c r="A283" s="22" t="s">
        <v>496</v>
      </c>
      <c r="B283" s="23" t="str">
        <f>A283&amp;". Have you ever used "&amp;REF!G3 &amp;" in your own name for transactions?"</f>
        <v>BI.E25B. Have you ever used Credit Cards (Primary and Complement Card) in your own name for transactions?</v>
      </c>
      <c r="C283" s="23" t="s">
        <v>125</v>
      </c>
      <c r="D283" s="22" t="s">
        <v>31</v>
      </c>
      <c r="E283" s="24">
        <v>1</v>
      </c>
      <c r="F283" s="177" t="s">
        <v>497</v>
      </c>
      <c r="G283" s="22" t="str">
        <f>SUBSTITUTE(A283,".","_")</f>
        <v>BI_E25B</v>
      </c>
      <c r="H283" s="176"/>
      <c r="I283" s="163"/>
      <c r="J283" s="25"/>
    </row>
    <row r="284" spans="1:10" s="26" customFormat="1" ht="28">
      <c r="A284" s="22" t="s">
        <v>498</v>
      </c>
      <c r="B284" s="23" t="str">
        <f>A284&amp;". Have you ever used "&amp;REF!G4 &amp;" in your own name for transactions?"</f>
        <v>BI.E25C. Have you ever used card based electronic money (such as: Flazz, BRIzzi, E-money, E-toll, Indomaret card, Alfamart card, etc.) in your own name for transactions?</v>
      </c>
      <c r="C284" s="23" t="s">
        <v>125</v>
      </c>
      <c r="D284" s="22" t="s">
        <v>31</v>
      </c>
      <c r="E284" s="24">
        <v>1</v>
      </c>
      <c r="F284" s="177" t="s">
        <v>499</v>
      </c>
      <c r="G284" s="22" t="str">
        <f>SUBSTITUTE(A284,".","_")</f>
        <v>BI_E25C</v>
      </c>
      <c r="H284" s="176"/>
      <c r="I284" s="163"/>
      <c r="J284" s="25"/>
    </row>
    <row r="285" spans="1:10" s="26" customFormat="1" ht="42">
      <c r="A285" s="22" t="s">
        <v>2807</v>
      </c>
      <c r="B285" s="215" t="str">
        <f>A285&amp;". Have you ever used "&amp;REF!G5 &amp;" in your own name for transactions?"</f>
        <v>BI.E25D. Have you ever used server based electronic money (such as: e-cash, Go-Pay, OVO, Tap Cash, T-cash, XL Tunai, Dompetku, Rekening Ponsel, etc.) in your own name for transactions?</v>
      </c>
      <c r="C285" s="23" t="s">
        <v>125</v>
      </c>
      <c r="D285" s="22" t="s">
        <v>31</v>
      </c>
      <c r="E285" s="24">
        <v>1</v>
      </c>
      <c r="F285" s="177" t="s">
        <v>2808</v>
      </c>
      <c r="G285" s="22" t="str">
        <f>SUBSTITUTE(A285,".","_")</f>
        <v>BI_E25D</v>
      </c>
      <c r="H285" s="176"/>
      <c r="I285" s="163"/>
      <c r="J285" s="25"/>
    </row>
    <row r="286" spans="1:10" s="25" customFormat="1" ht="28">
      <c r="A286" s="22" t="s">
        <v>500</v>
      </c>
      <c r="B286" s="23" t="str">
        <f>A286&amp;". Do you have " &amp;REF!G4 &amp;"?"</f>
        <v>BI.E26C. Do you have card based electronic money (such as: Flazz, BRIzzi, E-money, E-toll, Indomaret card, Alfamart card, etc.)?</v>
      </c>
      <c r="C286" s="23" t="s">
        <v>125</v>
      </c>
      <c r="D286" s="22" t="s">
        <v>31</v>
      </c>
      <c r="E286" s="24">
        <v>1</v>
      </c>
      <c r="F286" s="177" t="s">
        <v>499</v>
      </c>
      <c r="G286" s="22" t="str">
        <f t="shared" ref="G286:G288" si="30">SUBSTITUTE(A286,".","_")</f>
        <v>BI_E26C</v>
      </c>
      <c r="H286" s="176"/>
      <c r="I286" s="164"/>
    </row>
    <row r="287" spans="1:10" s="25" customFormat="1" ht="28">
      <c r="A287" s="22" t="s">
        <v>2809</v>
      </c>
      <c r="B287" s="23" t="str">
        <f>A287&amp;". Do you have " &amp;REF!G5 &amp;"?"</f>
        <v>BI.E26D. Do you have server based electronic money (such as: e-cash, Go-Pay, OVO, Tap Cash, T-cash, XL Tunai, Dompetku, Rekening Ponsel, etc.)?</v>
      </c>
      <c r="C287" s="23" t="s">
        <v>125</v>
      </c>
      <c r="D287" s="22" t="s">
        <v>31</v>
      </c>
      <c r="E287" s="24">
        <v>1</v>
      </c>
      <c r="F287" s="177" t="s">
        <v>2808</v>
      </c>
      <c r="G287" s="22" t="str">
        <f t="shared" ref="G287" si="31">SUBSTITUTE(A287,".","_")</f>
        <v>BI_E26D</v>
      </c>
      <c r="H287" s="176"/>
      <c r="I287" s="164"/>
    </row>
    <row r="288" spans="1:10" s="25" customFormat="1">
      <c r="A288" s="22" t="s">
        <v>501</v>
      </c>
      <c r="B288" s="23" t="str">
        <f>A288&amp;". How many " &amp;REF!G2 &amp;" do you have in your own name?"</f>
        <v>BI.E27A. How many ATM Card / Debit Card do you have in your own name?</v>
      </c>
      <c r="C288" s="23" t="s">
        <v>442</v>
      </c>
      <c r="D288" s="22" t="s">
        <v>12</v>
      </c>
      <c r="E288" s="24">
        <v>2</v>
      </c>
      <c r="F288" s="220" t="s">
        <v>2887</v>
      </c>
      <c r="G288" s="22" t="str">
        <f t="shared" si="30"/>
        <v>BI_E27A</v>
      </c>
      <c r="H288" s="176"/>
      <c r="I288" s="164"/>
    </row>
    <row r="289" spans="1:10" s="25" customFormat="1" ht="28">
      <c r="A289" s="22" t="s">
        <v>502</v>
      </c>
      <c r="B289" s="23" t="str">
        <f>A289&amp;". How many " &amp;REF!G3 &amp;" do you have in your own name?"</f>
        <v>BI.E27B. How many Credit Cards (Primary and Complement Card) do you have in your own name?</v>
      </c>
      <c r="C289" s="23" t="s">
        <v>442</v>
      </c>
      <c r="D289" s="22" t="s">
        <v>12</v>
      </c>
      <c r="E289" s="24">
        <v>2</v>
      </c>
      <c r="F289" s="220" t="s">
        <v>2888</v>
      </c>
      <c r="G289" s="22" t="str">
        <f t="shared" ref="G289:G290" si="32">SUBSTITUTE(A289,".","_")</f>
        <v>BI_E27B</v>
      </c>
      <c r="H289" s="176"/>
      <c r="I289" s="164"/>
    </row>
    <row r="290" spans="1:10" s="26" customFormat="1" ht="28">
      <c r="A290" s="22" t="s">
        <v>503</v>
      </c>
      <c r="B290" s="23" t="str">
        <f>A290&amp;". How many " &amp;REF!G4 &amp;" cards/accounts do you have?"</f>
        <v>BI.E27C. How many card based electronic money (such as: Flazz, BRIzzi, E-money, E-toll, Indomaret card, Alfamart card, etc.) cards/accounts do you have?</v>
      </c>
      <c r="C290" s="23" t="s">
        <v>442</v>
      </c>
      <c r="D290" s="22" t="s">
        <v>31</v>
      </c>
      <c r="E290" s="24">
        <v>2</v>
      </c>
      <c r="F290" s="177" t="s">
        <v>504</v>
      </c>
      <c r="G290" s="22" t="str">
        <f t="shared" si="32"/>
        <v>BI_E27C</v>
      </c>
      <c r="H290" s="176"/>
      <c r="I290" s="163"/>
      <c r="J290" s="25"/>
    </row>
    <row r="291" spans="1:10" s="26" customFormat="1" ht="28">
      <c r="A291" s="22" t="s">
        <v>2810</v>
      </c>
      <c r="B291" s="23" t="str">
        <f>A291&amp;". How many " &amp;REF!G5 &amp;" cards/accounts do you have?"</f>
        <v>BI.E27D. How many server based electronic money (such as: e-cash, Go-Pay, OVO, Tap Cash, T-cash, XL Tunai, Dompetku, Rekening Ponsel, etc.) cards/accounts do you have?</v>
      </c>
      <c r="C291" s="23" t="s">
        <v>442</v>
      </c>
      <c r="D291" s="22" t="s">
        <v>31</v>
      </c>
      <c r="E291" s="24">
        <v>2</v>
      </c>
      <c r="F291" s="177" t="s">
        <v>525</v>
      </c>
      <c r="G291" s="22" t="str">
        <f t="shared" ref="G291" si="33">SUBSTITUTE(A291,".","_")</f>
        <v>BI_E27D</v>
      </c>
      <c r="H291" s="176"/>
      <c r="I291" s="163"/>
      <c r="J291" s="25"/>
    </row>
    <row r="292" spans="1:10" s="26" customFormat="1" ht="28">
      <c r="A292" s="22" t="s">
        <v>505</v>
      </c>
      <c r="B292" s="23" t="str">
        <f>A292&amp;". Do you use your your " &amp;REF!$G$2 &amp;" for the following purposes? " &amp;REF!H2</f>
        <v>BI.E28A.A. Do you use your your ATM Card / Debit Card for the following purposes? To make a purchase</v>
      </c>
      <c r="C292" s="23" t="s">
        <v>125</v>
      </c>
      <c r="D292" s="22" t="s">
        <v>31</v>
      </c>
      <c r="E292" s="24">
        <v>1</v>
      </c>
      <c r="F292" s="220" t="s">
        <v>2887</v>
      </c>
      <c r="G292" s="22" t="str">
        <f t="shared" ref="G292" si="34">SUBSTITUTE(A292,".","_")</f>
        <v>BI_E28A_A</v>
      </c>
      <c r="H292" s="176"/>
      <c r="I292" s="163"/>
      <c r="J292" s="25"/>
    </row>
    <row r="293" spans="1:10" s="26" customFormat="1" ht="28">
      <c r="A293" s="22" t="s">
        <v>506</v>
      </c>
      <c r="B293" s="23" t="str">
        <f>A293&amp;". Do you use your your " &amp;REF!$G$2 &amp;" for the following purposes? " &amp;REF!H3</f>
        <v>BI.E28A.B. Do you use your your ATM Card / Debit Card for the following purposes? Cash Withdrawal</v>
      </c>
      <c r="C293" s="23" t="s">
        <v>125</v>
      </c>
      <c r="D293" s="22" t="s">
        <v>31</v>
      </c>
      <c r="E293" s="24">
        <v>1</v>
      </c>
      <c r="F293" s="220" t="s">
        <v>2887</v>
      </c>
      <c r="G293" s="22" t="str">
        <f t="shared" ref="G293:G300" si="35">SUBSTITUTE(A293,".","_")</f>
        <v>BI_E28A_B</v>
      </c>
      <c r="H293" s="176"/>
      <c r="I293" s="163"/>
      <c r="J293" s="25"/>
    </row>
    <row r="294" spans="1:10" s="26" customFormat="1" ht="28">
      <c r="A294" s="22" t="s">
        <v>507</v>
      </c>
      <c r="B294" s="23" t="str">
        <f>A294&amp;". Do you use your your " &amp;REF!$G$2 &amp;" for the following purposes? " &amp;REF!H4</f>
        <v>BI.E28A.C. Do you use your your ATM Card / Debit Card for the following purposes? Billing Payment</v>
      </c>
      <c r="C294" s="23" t="s">
        <v>125</v>
      </c>
      <c r="D294" s="22" t="s">
        <v>31</v>
      </c>
      <c r="E294" s="24">
        <v>1</v>
      </c>
      <c r="F294" s="220" t="s">
        <v>2887</v>
      </c>
      <c r="G294" s="22" t="str">
        <f t="shared" si="35"/>
        <v>BI_E28A_C</v>
      </c>
      <c r="H294" s="176"/>
      <c r="I294" s="163"/>
      <c r="J294" s="25"/>
    </row>
    <row r="295" spans="1:10" s="26" customFormat="1" ht="28">
      <c r="A295" s="22" t="s">
        <v>508</v>
      </c>
      <c r="B295" s="23" t="str">
        <f>A295&amp;". Do you use your your " &amp;REF!$G$2 &amp;" for the following purposes? " &amp;REF!H5</f>
        <v>BI.E28A.D. Do you use your your ATM Card / Debit Card for the following purposes? Transfer/Remittance</v>
      </c>
      <c r="C295" s="23" t="s">
        <v>125</v>
      </c>
      <c r="D295" s="22" t="s">
        <v>31</v>
      </c>
      <c r="E295" s="24">
        <v>1</v>
      </c>
      <c r="F295" s="220" t="s">
        <v>2887</v>
      </c>
      <c r="G295" s="22" t="str">
        <f t="shared" si="35"/>
        <v>BI_E28A_D</v>
      </c>
      <c r="H295" s="176"/>
      <c r="I295" s="163"/>
      <c r="J295" s="25"/>
    </row>
    <row r="296" spans="1:10" s="26" customFormat="1" ht="28">
      <c r="A296" s="219" t="s">
        <v>2891</v>
      </c>
      <c r="B296" s="217" t="str">
        <f>A296&amp;". Do you use your your " &amp;REF!$G$2 &amp;" for the following purposes? " &amp;REF!H6</f>
        <v xml:space="preserve">BI.E28A.E. Do you use your your ATM Card / Debit Card for the following purposes? Receive Social/Government aid </v>
      </c>
      <c r="C296" s="217" t="s">
        <v>125</v>
      </c>
      <c r="D296" s="219" t="s">
        <v>31</v>
      </c>
      <c r="E296" s="218">
        <v>1</v>
      </c>
      <c r="F296" s="220" t="s">
        <v>2887</v>
      </c>
      <c r="G296" s="219" t="str">
        <f t="shared" ref="G296" si="36">SUBSTITUTE(A296,".","_")</f>
        <v>BI_E28A_E</v>
      </c>
      <c r="H296" s="176"/>
      <c r="I296" s="163"/>
      <c r="J296" s="25"/>
    </row>
    <row r="297" spans="1:10" s="26" customFormat="1" ht="28">
      <c r="A297" s="219" t="s">
        <v>2892</v>
      </c>
      <c r="B297" s="217" t="str">
        <f>A297&amp;". Do you use your your " &amp;REF!$G$2 &amp;" for the following purposes? " &amp;REF!H7</f>
        <v>BI.E28A.F. Do you use your your ATM Card / Debit Card for the following purposes? Cash Deposit</v>
      </c>
      <c r="C297" s="217" t="s">
        <v>125</v>
      </c>
      <c r="D297" s="219" t="s">
        <v>31</v>
      </c>
      <c r="E297" s="218">
        <v>1</v>
      </c>
      <c r="F297" s="220" t="s">
        <v>2887</v>
      </c>
      <c r="G297" s="219" t="str">
        <f>SUBSTITUTE(A297,".","_")</f>
        <v>BI_E28A_F</v>
      </c>
      <c r="H297" s="176"/>
      <c r="I297" s="163"/>
      <c r="J297" s="25"/>
    </row>
    <row r="298" spans="1:10" s="26" customFormat="1" ht="28">
      <c r="A298" s="22" t="s">
        <v>509</v>
      </c>
      <c r="B298" s="23" t="str">
        <f>A298&amp;". Do you use your your " &amp;REF!$G$2 &amp;" for the following purposes? " &amp;REF!H8</f>
        <v>BI.E28A.V. Do you use your your ATM Card / Debit Card for the following purposes? Other that I didn't mention</v>
      </c>
      <c r="C298" s="23" t="s">
        <v>125</v>
      </c>
      <c r="D298" s="22" t="s">
        <v>31</v>
      </c>
      <c r="E298" s="24">
        <v>1</v>
      </c>
      <c r="F298" s="220" t="s">
        <v>2887</v>
      </c>
      <c r="G298" s="22" t="str">
        <f t="shared" si="35"/>
        <v>BI_E28A_V</v>
      </c>
      <c r="H298" s="176"/>
      <c r="I298" s="163"/>
      <c r="J298" s="25"/>
    </row>
    <row r="299" spans="1:10" s="26" customFormat="1" ht="28">
      <c r="A299" s="22" t="s">
        <v>510</v>
      </c>
      <c r="B299" s="23" t="str">
        <f>A299&amp;". Please specify the other purpose for which you use your " &amp;REF!$G$2</f>
        <v>BI.E28A.V.96. Please specify the other purpose for which you use your ATM Card / Debit Card</v>
      </c>
      <c r="C299" s="23" t="s">
        <v>11</v>
      </c>
      <c r="D299" s="22" t="s">
        <v>43</v>
      </c>
      <c r="E299" s="22">
        <v>50</v>
      </c>
      <c r="F299" s="21" t="s">
        <v>511</v>
      </c>
      <c r="G299" s="22" t="str">
        <f t="shared" si="35"/>
        <v>BI_E28A_V_96</v>
      </c>
      <c r="H299" s="176"/>
      <c r="I299" s="163"/>
      <c r="J299" s="25"/>
    </row>
    <row r="300" spans="1:10" s="26" customFormat="1" ht="28">
      <c r="A300" s="22" t="s">
        <v>512</v>
      </c>
      <c r="B300" s="23" t="str">
        <f>A300&amp;". Do you use your " &amp;REF!$G$3 &amp;" for the following purposes? " &amp;REF!H2</f>
        <v>BI.E28B.A. Do you use your Credit Cards (Primary and Complement Card) for the following purposes? To make a purchase</v>
      </c>
      <c r="C300" s="23" t="s">
        <v>125</v>
      </c>
      <c r="D300" s="22" t="s">
        <v>31</v>
      </c>
      <c r="E300" s="24">
        <v>1</v>
      </c>
      <c r="F300" s="220" t="s">
        <v>2888</v>
      </c>
      <c r="G300" s="22" t="str">
        <f t="shared" si="35"/>
        <v>BI_E28B_A</v>
      </c>
      <c r="H300" s="176"/>
      <c r="I300" s="163"/>
      <c r="J300" s="25"/>
    </row>
    <row r="301" spans="1:10" s="26" customFormat="1" ht="28">
      <c r="A301" s="22" t="s">
        <v>513</v>
      </c>
      <c r="B301" s="23" t="str">
        <f>A301&amp;". Do you use your " &amp;REF!$G$3 &amp;" for the following purposes? " &amp;REF!H3</f>
        <v>BI.E28B.B. Do you use your Credit Cards (Primary and Complement Card) for the following purposes? Cash Withdrawal</v>
      </c>
      <c r="C301" s="23" t="s">
        <v>125</v>
      </c>
      <c r="D301" s="22" t="s">
        <v>31</v>
      </c>
      <c r="E301" s="24">
        <v>1</v>
      </c>
      <c r="F301" s="220" t="s">
        <v>2888</v>
      </c>
      <c r="G301" s="22" t="str">
        <f t="shared" ref="G301:G309" si="37">SUBSTITUTE(A301,".","_")</f>
        <v>BI_E28B_B</v>
      </c>
      <c r="H301" s="176"/>
      <c r="I301" s="163"/>
      <c r="J301" s="25"/>
    </row>
    <row r="302" spans="1:10" s="26" customFormat="1" ht="28">
      <c r="A302" s="22" t="s">
        <v>514</v>
      </c>
      <c r="B302" s="23" t="str">
        <f>A302&amp;". Do you use your " &amp;REF!$G$3 &amp;" for the following purposes? " &amp;REF!H4</f>
        <v>BI.E28B.C. Do you use your Credit Cards (Primary and Complement Card) for the following purposes? Billing Payment</v>
      </c>
      <c r="C302" s="23" t="s">
        <v>125</v>
      </c>
      <c r="D302" s="22" t="s">
        <v>31</v>
      </c>
      <c r="E302" s="24">
        <v>1</v>
      </c>
      <c r="F302" s="220" t="s">
        <v>2888</v>
      </c>
      <c r="G302" s="22" t="str">
        <f t="shared" si="37"/>
        <v>BI_E28B_C</v>
      </c>
      <c r="H302" s="176"/>
      <c r="I302" s="163"/>
      <c r="J302" s="25"/>
    </row>
    <row r="303" spans="1:10" s="26" customFormat="1" ht="28">
      <c r="A303" s="22" t="s">
        <v>515</v>
      </c>
      <c r="B303" s="23" t="str">
        <f>A303&amp;". Do you use your " &amp;REF!$G$3 &amp;" for the following purposes? " &amp;REF!H5</f>
        <v>BI.E28B.D. Do you use your Credit Cards (Primary and Complement Card) for the following purposes? Transfer/Remittance</v>
      </c>
      <c r="C303" s="23" t="s">
        <v>125</v>
      </c>
      <c r="D303" s="22" t="s">
        <v>31</v>
      </c>
      <c r="E303" s="24">
        <v>1</v>
      </c>
      <c r="F303" s="220" t="s">
        <v>2888</v>
      </c>
      <c r="G303" s="22" t="str">
        <f t="shared" si="37"/>
        <v>BI_E28B_D</v>
      </c>
      <c r="H303" s="176"/>
      <c r="I303" s="163"/>
      <c r="J303" s="25"/>
    </row>
    <row r="304" spans="1:10" s="26" customFormat="1" ht="28">
      <c r="A304" s="22" t="s">
        <v>516</v>
      </c>
      <c r="B304" s="23" t="str">
        <f>A304&amp;". Do you use your " &amp;REF!$G$3 &amp;" for the following purposes? " &amp;REF!H8</f>
        <v>BI.E28B.V. Do you use your Credit Cards (Primary and Complement Card) for the following purposes? Other that I didn't mention</v>
      </c>
      <c r="C304" s="23" t="s">
        <v>125</v>
      </c>
      <c r="D304" s="22" t="s">
        <v>31</v>
      </c>
      <c r="E304" s="24">
        <v>1</v>
      </c>
      <c r="F304" s="220" t="s">
        <v>2888</v>
      </c>
      <c r="G304" s="22" t="str">
        <f t="shared" si="37"/>
        <v>BI_E28B_V</v>
      </c>
      <c r="H304" s="176"/>
      <c r="I304" s="163"/>
      <c r="J304" s="25"/>
    </row>
    <row r="305" spans="1:10" s="26" customFormat="1" ht="28">
      <c r="A305" s="22" t="s">
        <v>517</v>
      </c>
      <c r="B305" s="23" t="str">
        <f>A305&amp;". Please specify the other purpose for which you use your " &amp;REF!$G$3</f>
        <v>BI.E28B.V.96. Please specify the other purpose for which you use your Credit Cards (Primary and Complement Card)</v>
      </c>
      <c r="C305" s="23" t="s">
        <v>11</v>
      </c>
      <c r="D305" s="22" t="s">
        <v>43</v>
      </c>
      <c r="E305" s="22">
        <v>50</v>
      </c>
      <c r="F305" s="21" t="s">
        <v>518</v>
      </c>
      <c r="G305" s="22" t="str">
        <f t="shared" si="37"/>
        <v>BI_E28B_V_96</v>
      </c>
      <c r="H305" s="176"/>
      <c r="I305" s="163"/>
      <c r="J305" s="25"/>
    </row>
    <row r="306" spans="1:10" s="26" customFormat="1" ht="28">
      <c r="A306" s="22" t="s">
        <v>519</v>
      </c>
      <c r="B306" s="23" t="str">
        <f>A306&amp;". Do you use your " &amp;REF!$G$4 &amp;" for the following purposes? " &amp;REF!H2</f>
        <v>BI.E28C.A. Do you use your card based electronic money (such as: Flazz, BRIzzi, E-money, E-toll, Indomaret card, Alfamart card, etc.) for the following purposes? To make a purchase</v>
      </c>
      <c r="C306" s="23" t="s">
        <v>125</v>
      </c>
      <c r="D306" s="22" t="s">
        <v>31</v>
      </c>
      <c r="E306" s="24">
        <v>1</v>
      </c>
      <c r="F306" s="177" t="s">
        <v>504</v>
      </c>
      <c r="G306" s="22" t="str">
        <f t="shared" si="37"/>
        <v>BI_E28C_A</v>
      </c>
      <c r="H306" s="176"/>
      <c r="I306" s="163"/>
      <c r="J306" s="25"/>
    </row>
    <row r="307" spans="1:10" s="26" customFormat="1" ht="28">
      <c r="A307" s="22" t="s">
        <v>520</v>
      </c>
      <c r="B307" s="23" t="str">
        <f>A307&amp;". Do you use your " &amp;REF!$G$4 &amp;" for the following purposes? " &amp;REF!H4</f>
        <v>BI.E28C.C. Do you use your card based electronic money (such as: Flazz, BRIzzi, E-money, E-toll, Indomaret card, Alfamart card, etc.) for the following purposes? Billing Payment</v>
      </c>
      <c r="C307" s="23" t="s">
        <v>125</v>
      </c>
      <c r="D307" s="22" t="s">
        <v>31</v>
      </c>
      <c r="E307" s="24">
        <v>1</v>
      </c>
      <c r="F307" s="177" t="s">
        <v>504</v>
      </c>
      <c r="G307" s="22" t="str">
        <f t="shared" si="37"/>
        <v>BI_E28C_C</v>
      </c>
      <c r="H307" s="175"/>
      <c r="I307" s="163"/>
      <c r="J307" s="25"/>
    </row>
    <row r="308" spans="1:10" s="26" customFormat="1" ht="42">
      <c r="A308" s="22" t="s">
        <v>521</v>
      </c>
      <c r="B308" s="23" t="str">
        <f>A308&amp;". Do you use your " &amp;REF!$G$4 &amp;" for the following purposes? " &amp;REF!H8</f>
        <v>BI.E28C.V. Do you use your card based electronic money (such as: Flazz, BRIzzi, E-money, E-toll, Indomaret card, Alfamart card, etc.) for the following purposes? Other that I didn't mention</v>
      </c>
      <c r="C308" s="23" t="s">
        <v>125</v>
      </c>
      <c r="D308" s="22" t="s">
        <v>31</v>
      </c>
      <c r="E308" s="24">
        <v>1</v>
      </c>
      <c r="F308" s="177" t="s">
        <v>504</v>
      </c>
      <c r="G308" s="22" t="str">
        <f t="shared" si="37"/>
        <v>BI_E28C_V</v>
      </c>
      <c r="H308" s="175"/>
      <c r="I308" s="163"/>
      <c r="J308" s="25"/>
    </row>
    <row r="309" spans="1:10" ht="42">
      <c r="A309" s="22" t="s">
        <v>522</v>
      </c>
      <c r="B309" s="23" t="str">
        <f>A309&amp;". Please specify the other purpose for which you use your " &amp;REF!$G$4</f>
        <v>BI.E28C.V.96. Please specify the other purpose for which you use your card based electronic money (such as: Flazz, BRIzzi, E-money, E-toll, Indomaret card, Alfamart card, etc.)</v>
      </c>
      <c r="C309" s="23" t="s">
        <v>11</v>
      </c>
      <c r="D309" s="22" t="s">
        <v>43</v>
      </c>
      <c r="E309" s="24">
        <v>50</v>
      </c>
      <c r="F309" s="177" t="s">
        <v>523</v>
      </c>
      <c r="G309" s="22" t="str">
        <f t="shared" si="37"/>
        <v>BI_E28C_V_96</v>
      </c>
      <c r="J309" s="1"/>
    </row>
    <row r="310" spans="1:10" s="26" customFormat="1" ht="42">
      <c r="A310" s="22" t="s">
        <v>2811</v>
      </c>
      <c r="B310" s="23" t="str">
        <f>A310&amp;". Do you use your " &amp;REF!$G$5 &amp;" for the following purposes? " &amp;REF!H2</f>
        <v>BI.E28D.A. Do you use your server based electronic money (such as: e-cash, Go-Pay, OVO, Tap Cash, T-cash, XL Tunai, Dompetku, Rekening Ponsel, etc.) for the following purposes? To make a purchase</v>
      </c>
      <c r="C310" s="23" t="s">
        <v>125</v>
      </c>
      <c r="D310" s="22" t="s">
        <v>31</v>
      </c>
      <c r="E310" s="24">
        <v>1</v>
      </c>
      <c r="F310" s="177" t="s">
        <v>525</v>
      </c>
      <c r="G310" s="22" t="str">
        <f t="shared" ref="G310:G315" si="38">SUBSTITUTE(A310,".","_")</f>
        <v>BI_E28D_A</v>
      </c>
      <c r="H310" s="176"/>
      <c r="I310" s="163"/>
      <c r="J310" s="25"/>
    </row>
    <row r="311" spans="1:10" s="26" customFormat="1" ht="42">
      <c r="A311" s="22" t="s">
        <v>2812</v>
      </c>
      <c r="B311" s="23" t="str">
        <f>A311&amp;". Do you use your " &amp;REF!$G$5 &amp;" for the following purposes? " &amp;REF!H3</f>
        <v>BI.E28D.B. Do you use your server based electronic money (such as: e-cash, Go-Pay, OVO, Tap Cash, T-cash, XL Tunai, Dompetku, Rekening Ponsel, etc.) for the following purposes? Cash Withdrawal</v>
      </c>
      <c r="C311" s="23" t="s">
        <v>125</v>
      </c>
      <c r="D311" s="22" t="s">
        <v>31</v>
      </c>
      <c r="E311" s="24">
        <v>1</v>
      </c>
      <c r="F311" s="177" t="s">
        <v>525</v>
      </c>
      <c r="G311" s="22" t="str">
        <f t="shared" si="38"/>
        <v>BI_E28D_B</v>
      </c>
      <c r="H311" s="176"/>
      <c r="I311" s="163"/>
      <c r="J311" s="25"/>
    </row>
    <row r="312" spans="1:10" s="26" customFormat="1" ht="42">
      <c r="A312" s="22" t="s">
        <v>2813</v>
      </c>
      <c r="B312" s="23" t="str">
        <f>A312&amp;". Do you use your " &amp;REF!$G$5 &amp;" for the following purposes? " &amp;REF!H4</f>
        <v>BI.E28D.C. Do you use your server based electronic money (such as: e-cash, Go-Pay, OVO, Tap Cash, T-cash, XL Tunai, Dompetku, Rekening Ponsel, etc.) for the following purposes? Billing Payment</v>
      </c>
      <c r="C312" s="23" t="s">
        <v>125</v>
      </c>
      <c r="D312" s="22" t="s">
        <v>31</v>
      </c>
      <c r="E312" s="24">
        <v>1</v>
      </c>
      <c r="F312" s="177" t="s">
        <v>525</v>
      </c>
      <c r="G312" s="22" t="str">
        <f t="shared" si="38"/>
        <v>BI_E28D_C</v>
      </c>
      <c r="H312" s="175"/>
      <c r="I312" s="163"/>
      <c r="J312" s="25"/>
    </row>
    <row r="313" spans="1:10" s="26" customFormat="1" ht="42">
      <c r="A313" s="22" t="s">
        <v>2814</v>
      </c>
      <c r="B313" s="23" t="str">
        <f>A313&amp;". Do you use your " &amp;REF!$G$5 &amp;" for the following purposes? " &amp;REF!H5</f>
        <v>BI.E28D.D. Do you use your server based electronic money (such as: e-cash, Go-Pay, OVO, Tap Cash, T-cash, XL Tunai, Dompetku, Rekening Ponsel, etc.) for the following purposes? Transfer/Remittance</v>
      </c>
      <c r="C313" s="23" t="s">
        <v>125</v>
      </c>
      <c r="D313" s="22" t="s">
        <v>31</v>
      </c>
      <c r="E313" s="24">
        <v>1</v>
      </c>
      <c r="F313" s="177" t="s">
        <v>525</v>
      </c>
      <c r="G313" s="22" t="str">
        <f t="shared" si="38"/>
        <v>BI_E28D_D</v>
      </c>
      <c r="H313" s="175"/>
      <c r="I313" s="163"/>
      <c r="J313" s="25"/>
    </row>
    <row r="314" spans="1:10" s="26" customFormat="1" ht="42">
      <c r="A314" s="22" t="s">
        <v>2815</v>
      </c>
      <c r="B314" s="23" t="str">
        <f>A314&amp;". Do you use your " &amp;REF!$G$5 &amp;" for the following purposes? " &amp;REF!H8</f>
        <v>BI.E28D.V. Do you use your server based electronic money (such as: e-cash, Go-Pay, OVO, Tap Cash, T-cash, XL Tunai, Dompetku, Rekening Ponsel, etc.) for the following purposes? Other that I didn't mention</v>
      </c>
      <c r="C314" s="23" t="s">
        <v>125</v>
      </c>
      <c r="D314" s="22" t="s">
        <v>31</v>
      </c>
      <c r="E314" s="24">
        <v>1</v>
      </c>
      <c r="F314" s="177" t="s">
        <v>525</v>
      </c>
      <c r="G314" s="22" t="str">
        <f t="shared" si="38"/>
        <v>BI_E28D_V</v>
      </c>
      <c r="H314" s="175"/>
      <c r="I314" s="163"/>
      <c r="J314" s="25"/>
    </row>
    <row r="315" spans="1:10" ht="42">
      <c r="A315" s="22" t="s">
        <v>2816</v>
      </c>
      <c r="B315" s="23" t="str">
        <f>A315&amp;". Please specify the other purpose for which you use your " &amp;REF!$G$5</f>
        <v>BI.E28D.V.96. Please specify the other purpose for which you use your server based electronic money (such as: e-cash, Go-Pay, OVO, Tap Cash, T-cash, XL Tunai, Dompetku, Rekening Ponsel, etc.)</v>
      </c>
      <c r="C315" s="23" t="s">
        <v>11</v>
      </c>
      <c r="D315" s="22" t="s">
        <v>43</v>
      </c>
      <c r="E315" s="24">
        <v>50</v>
      </c>
      <c r="F315" s="177" t="s">
        <v>2817</v>
      </c>
      <c r="G315" s="22" t="str">
        <f t="shared" si="38"/>
        <v>BI_E28D_V_96</v>
      </c>
      <c r="J315" s="1"/>
    </row>
    <row r="316" spans="1:10" ht="98">
      <c r="A316" s="22" t="s">
        <v>2821</v>
      </c>
      <c r="B316" s="21" t="str">
        <f>A316&amp;". When was the last time you use card based electronic money (such as: Flazz, BRIzzi, E-money, E-toll, Indomaret card, Alfamart card, etc)?"</f>
        <v>GF3A. When was the last time you use card based electronic money (such as: Flazz, BRIzzi, E-money, E-toll, Indomaret card, Alfamart card, etc)?</v>
      </c>
      <c r="C316" s="35" t="s">
        <v>524</v>
      </c>
      <c r="D316" s="22" t="s">
        <v>31</v>
      </c>
      <c r="E316" s="22">
        <v>1</v>
      </c>
      <c r="F316" s="23" t="s">
        <v>504</v>
      </c>
      <c r="G316" s="22" t="str">
        <f t="shared" ref="G316" si="39">SUBSTITUTE(A316,".","_")</f>
        <v>GF3A</v>
      </c>
      <c r="J316" s="1"/>
    </row>
    <row r="317" spans="1:10" ht="98">
      <c r="A317" s="22" t="s">
        <v>2822</v>
      </c>
      <c r="B317" s="21" t="str">
        <f>A317&amp;". When was the last time you use server based electronic money (such as: e-cash, Go-Pay, OVO, Tap Cash, T-cash, XL tunai, Dompetku, Rekening Ponsel, etc)?"</f>
        <v>GF3B. When was the last time you use server based electronic money (such as: e-cash, Go-Pay, OVO, Tap Cash, T-cash, XL tunai, Dompetku, Rekening Ponsel, etc)?</v>
      </c>
      <c r="C317" s="35" t="s">
        <v>524</v>
      </c>
      <c r="D317" s="22" t="s">
        <v>31</v>
      </c>
      <c r="E317" s="22">
        <v>1</v>
      </c>
      <c r="F317" s="23" t="s">
        <v>525</v>
      </c>
      <c r="G317" s="22" t="str">
        <f t="shared" ref="G317:G318" si="40">SUBSTITUTE(A317,".","_")</f>
        <v>GF3B</v>
      </c>
      <c r="J317" s="1"/>
    </row>
    <row r="318" spans="1:10" ht="42">
      <c r="A318" s="22" t="s">
        <v>526</v>
      </c>
      <c r="B318" s="23" t="str">
        <f>A318&amp;".Have you ever filled out the registration form for server based electronic money (such as: e-cash, Go-pay, OVO, Tap Cash, T-cash, XL Tunai, Dompetku, Rekening Ponsel, etc)?"</f>
        <v>BI.E32A.Have you ever filled out the registration form for server based electronic money (such as: e-cash, Go-pay, OVO, Tap Cash, T-cash, XL Tunai, Dompetku, Rekening Ponsel, etc)?</v>
      </c>
      <c r="C318" s="23" t="s">
        <v>125</v>
      </c>
      <c r="D318" s="22" t="s">
        <v>31</v>
      </c>
      <c r="E318" s="22">
        <v>1</v>
      </c>
      <c r="F318" s="25" t="s">
        <v>525</v>
      </c>
      <c r="G318" s="22" t="str">
        <f t="shared" si="40"/>
        <v>BI_E32A</v>
      </c>
      <c r="J318" s="1"/>
    </row>
    <row r="319" spans="1:10" ht="28">
      <c r="A319" s="5" t="s">
        <v>527</v>
      </c>
      <c r="B319" s="6" t="str">
        <f>A319&amp;". Do you recharge / top up the electronic money at any of the following places? " &amp;REF!K2</f>
        <v>BI.E33A. Do you recharge / top up the electronic money at any of the following places? Teller (Bank Counter)</v>
      </c>
      <c r="C319" s="6" t="s">
        <v>125</v>
      </c>
      <c r="D319" s="5" t="s">
        <v>31</v>
      </c>
      <c r="E319" s="5">
        <v>1</v>
      </c>
      <c r="F319" s="23" t="s">
        <v>528</v>
      </c>
      <c r="G319" s="5" t="str">
        <f t="shared" ref="G319" si="41">SUBSTITUTE(A319,".","_")</f>
        <v>BI_E33A</v>
      </c>
      <c r="J319" s="1"/>
    </row>
    <row r="320" spans="1:10" ht="28">
      <c r="A320" s="5" t="s">
        <v>529</v>
      </c>
      <c r="B320" s="6" t="str">
        <f>A320&amp;". Do you recharge / top up the electronic money at any of the following places? " &amp;REF!K3</f>
        <v>BI.E33B. Do you recharge / top up the electronic money at any of the following places? ATM</v>
      </c>
      <c r="C320" s="6" t="s">
        <v>125</v>
      </c>
      <c r="D320" s="5" t="s">
        <v>31</v>
      </c>
      <c r="E320" s="5">
        <v>1</v>
      </c>
      <c r="F320" s="23" t="s">
        <v>528</v>
      </c>
      <c r="G320" s="5" t="str">
        <f t="shared" ref="G320:G327" si="42">SUBSTITUTE(A320,".","_")</f>
        <v>BI_E33B</v>
      </c>
      <c r="J320" s="1"/>
    </row>
    <row r="321" spans="1:10" ht="28">
      <c r="A321" s="5" t="s">
        <v>530</v>
      </c>
      <c r="B321" s="6" t="str">
        <f>A321&amp;". Do you recharge / top up the electronic money at any of the following places? " &amp;REF!K4</f>
        <v>BI.E33C. Do you recharge / top up the electronic money at any of the following places? Counter (Alfamart, Indomaret, Other Cash Point )</v>
      </c>
      <c r="C321" s="6" t="s">
        <v>125</v>
      </c>
      <c r="D321" s="5" t="s">
        <v>31</v>
      </c>
      <c r="E321" s="5">
        <v>1</v>
      </c>
      <c r="F321" s="23" t="s">
        <v>528</v>
      </c>
      <c r="G321" s="5" t="str">
        <f t="shared" si="42"/>
        <v>BI_E33C</v>
      </c>
      <c r="J321" s="1"/>
    </row>
    <row r="322" spans="1:10" ht="28">
      <c r="A322" s="5" t="s">
        <v>531</v>
      </c>
      <c r="B322" s="6" t="str">
        <f>A322&amp;". Do you recharge / top up the electronic money at any of the following places? " &amp;REF!K5</f>
        <v>BI.E33D. Do you recharge / top up the electronic money at any of the following places? Internet Banking</v>
      </c>
      <c r="C322" s="6" t="s">
        <v>125</v>
      </c>
      <c r="D322" s="5" t="s">
        <v>31</v>
      </c>
      <c r="E322" s="5">
        <v>1</v>
      </c>
      <c r="F322" s="23" t="s">
        <v>528</v>
      </c>
      <c r="G322" s="5" t="str">
        <f t="shared" si="42"/>
        <v>BI_E33D</v>
      </c>
      <c r="J322" s="1"/>
    </row>
    <row r="323" spans="1:10" ht="28">
      <c r="A323" s="5" t="s">
        <v>532</v>
      </c>
      <c r="B323" s="23" t="str">
        <f>A323&amp;". Do you recharge / top up the electronic money at any of the following places? " &amp;REF!K6</f>
        <v>BI.E33E. Do you recharge / top up the electronic money at any of the following places? LKD/Laku Pandai Agent</v>
      </c>
      <c r="C323" s="6" t="s">
        <v>125</v>
      </c>
      <c r="D323" s="5" t="s">
        <v>31</v>
      </c>
      <c r="E323" s="5">
        <v>1</v>
      </c>
      <c r="F323" s="23" t="s">
        <v>528</v>
      </c>
      <c r="G323" s="5" t="str">
        <f t="shared" si="42"/>
        <v>BI_E33E</v>
      </c>
      <c r="J323" s="1"/>
    </row>
    <row r="324" spans="1:10" ht="28">
      <c r="A324" s="5" t="s">
        <v>533</v>
      </c>
      <c r="B324" s="6" t="str">
        <f>A324&amp;". Do you recharge / top up the electronic money at any of the following places? " &amp;REF!K7</f>
        <v>BI.E33V. Do you recharge / top up the electronic money at any of the following places? Other that I didn't mention</v>
      </c>
      <c r="C324" s="6" t="s">
        <v>125</v>
      </c>
      <c r="D324" s="5" t="s">
        <v>31</v>
      </c>
      <c r="E324" s="5">
        <v>1</v>
      </c>
      <c r="F324" s="23" t="s">
        <v>528</v>
      </c>
      <c r="G324" s="5" t="str">
        <f t="shared" si="42"/>
        <v>BI_E33V</v>
      </c>
      <c r="J324" s="1"/>
    </row>
    <row r="325" spans="1:10" s="26" customFormat="1">
      <c r="A325" s="5" t="s">
        <v>534</v>
      </c>
      <c r="B325" s="6" t="str">
        <f>A325&amp;". Please specify which other place you recharge / top up the electronic money?"</f>
        <v>BI.E33V.96. Please specify which other place you recharge / top up the electronic money?</v>
      </c>
      <c r="C325" s="6" t="s">
        <v>11</v>
      </c>
      <c r="D325" s="5" t="s">
        <v>43</v>
      </c>
      <c r="E325" s="9">
        <v>50</v>
      </c>
      <c r="F325" s="177" t="s">
        <v>535</v>
      </c>
      <c r="G325" s="5" t="str">
        <f t="shared" si="42"/>
        <v>BI_E33V_96</v>
      </c>
      <c r="H325" s="175"/>
      <c r="I325" s="163"/>
      <c r="J325" s="25"/>
    </row>
    <row r="326" spans="1:10" s="26" customFormat="1" ht="28">
      <c r="A326" s="22" t="s">
        <v>536</v>
      </c>
      <c r="B326" s="23" t="str">
        <f>A326&amp;". Where do you make cash withdrawals from electronic money in your mobile phone from any of the following places? " &amp;REF!L2</f>
        <v>BI.E34A. Where do you make cash withdrawals from electronic money in your mobile phone from any of the following places? ATM</v>
      </c>
      <c r="C326" s="6" t="s">
        <v>125</v>
      </c>
      <c r="D326" s="5" t="s">
        <v>31</v>
      </c>
      <c r="E326" s="9">
        <v>1</v>
      </c>
      <c r="F326" s="23" t="s">
        <v>525</v>
      </c>
      <c r="G326" s="5" t="str">
        <f t="shared" si="42"/>
        <v>BI_E34A</v>
      </c>
      <c r="H326" s="175"/>
      <c r="I326" s="163"/>
      <c r="J326" s="25"/>
    </row>
    <row r="327" spans="1:10" ht="28">
      <c r="A327" s="22" t="s">
        <v>537</v>
      </c>
      <c r="B327" s="23" t="str">
        <f>A327&amp;". Where do you make cash withdrawals from electronic money in your mobile phone from any of the following places? " &amp;REF!L3</f>
        <v>BI.E34B. Where do you make cash withdrawals from electronic money in your mobile phone from any of the following places? LKD agent</v>
      </c>
      <c r="C327" s="23" t="s">
        <v>125</v>
      </c>
      <c r="D327" s="22" t="s">
        <v>31</v>
      </c>
      <c r="E327" s="22">
        <v>1</v>
      </c>
      <c r="F327" s="23" t="s">
        <v>525</v>
      </c>
      <c r="G327" s="22" t="str">
        <f t="shared" si="42"/>
        <v>BI_E34B</v>
      </c>
      <c r="J327" s="1"/>
    </row>
    <row r="328" spans="1:10" ht="28">
      <c r="A328" s="219" t="s">
        <v>2900</v>
      </c>
      <c r="B328" s="23" t="str">
        <f>A328&amp;". Where do you make cash withdrawals from electronic money in your mobile phone from any of the following places? " &amp;REF!L4</f>
        <v>BI.E34V. Where do you make cash withdrawals from electronic money in your mobile phone from any of the following places? Other that I didn't mention</v>
      </c>
      <c r="C328" s="23" t="s">
        <v>125</v>
      </c>
      <c r="D328" s="5" t="s">
        <v>31</v>
      </c>
      <c r="E328" s="5">
        <v>1</v>
      </c>
      <c r="F328" s="23" t="s">
        <v>525</v>
      </c>
      <c r="G328" s="5" t="str">
        <f t="shared" ref="G328:G330" si="43">SUBSTITUTE(A328,".","_")</f>
        <v>BI_E34V</v>
      </c>
      <c r="J328" s="1"/>
    </row>
    <row r="329" spans="1:10" ht="28">
      <c r="A329" s="24" t="s">
        <v>2899</v>
      </c>
      <c r="B329" s="23" t="str">
        <f>A329&amp;". Please specify the other place where you make cash withdrawals from electronic money in your mobile phone"</f>
        <v>BI.E34V.96. Please specify the other place where you make cash withdrawals from electronic money in your mobile phone</v>
      </c>
      <c r="C329" s="23" t="s">
        <v>11</v>
      </c>
      <c r="D329" s="5" t="s">
        <v>43</v>
      </c>
      <c r="E329" s="9">
        <v>50</v>
      </c>
      <c r="F329" s="11" t="s">
        <v>2901</v>
      </c>
      <c r="G329" s="5" t="str">
        <f t="shared" si="43"/>
        <v>BI_E34V_96</v>
      </c>
    </row>
    <row r="330" spans="1:10" ht="42">
      <c r="A330" s="207" t="s">
        <v>2852</v>
      </c>
      <c r="B330" s="208" t="str">
        <f>A330&amp;". When making a transaction, which payment method do you use most often (SA)?"</f>
        <v>BI.E35. When making a transaction, which payment method do you use most often (SA)?</v>
      </c>
      <c r="C330" s="209" t="s">
        <v>2871</v>
      </c>
      <c r="D330" s="210" t="s">
        <v>31</v>
      </c>
      <c r="E330" s="211">
        <v>1</v>
      </c>
      <c r="F330" s="212" t="s">
        <v>13</v>
      </c>
      <c r="G330" s="213" t="str">
        <f t="shared" si="43"/>
        <v>BI_E35</v>
      </c>
    </row>
    <row r="331" spans="1:10" s="1" customFormat="1" ht="13">
      <c r="A331" s="238" t="s">
        <v>2848</v>
      </c>
      <c r="B331" s="239"/>
      <c r="C331" s="239"/>
      <c r="D331" s="239"/>
      <c r="E331" s="239"/>
      <c r="F331" s="239"/>
      <c r="G331" s="240"/>
      <c r="H331" s="176"/>
      <c r="I331" s="164"/>
    </row>
    <row r="332" spans="1:10" customFormat="1" ht="28">
      <c r="A332" s="34" t="s">
        <v>218</v>
      </c>
      <c r="B332" s="23" t="str">
        <f>A332&amp;". Have you ever used any of the following products or services? "&amp;OJK!B2</f>
        <v>OJK2.1. Have you ever used any of the following products or services? Life Insurance</v>
      </c>
      <c r="C332" s="23" t="s">
        <v>125</v>
      </c>
      <c r="D332" s="22" t="s">
        <v>31</v>
      </c>
      <c r="E332" s="22">
        <v>1</v>
      </c>
      <c r="F332" s="23" t="s">
        <v>13</v>
      </c>
      <c r="G332" s="22" t="str">
        <f t="shared" ref="G332:G338" si="44">SUBSTITUTE(A332,".","_")</f>
        <v>OJK2_1</v>
      </c>
      <c r="H332" s="188"/>
      <c r="I332" s="172"/>
    </row>
    <row r="333" spans="1:10" customFormat="1" ht="56">
      <c r="A333" s="34" t="str">
        <f>A332&amp;"A"</f>
        <v>OJK2.1A</v>
      </c>
      <c r="B333" s="23" t="str">
        <f>A333&amp;". Was that conventional or sharia, or have you used both conventional and sharia? "&amp;OJK!B2</f>
        <v>OJK2.1A. Was that conventional or sharia, or have you used both conventional and sharia? Life Insurance</v>
      </c>
      <c r="C333" s="23" t="s">
        <v>193</v>
      </c>
      <c r="D333" s="22" t="s">
        <v>31</v>
      </c>
      <c r="E333" s="22">
        <v>2</v>
      </c>
      <c r="F333" s="23" t="s">
        <v>219</v>
      </c>
      <c r="G333" s="22" t="str">
        <f t="shared" si="44"/>
        <v>OJK2_1A</v>
      </c>
      <c r="H333" s="188"/>
      <c r="I333" s="172"/>
    </row>
    <row r="334" spans="1:10" customFormat="1" ht="28">
      <c r="A334" s="34" t="s">
        <v>220</v>
      </c>
      <c r="B334" s="23" t="str">
        <f>A334&amp;". Have you ever used any of the following products or services? "&amp;OJK!B3</f>
        <v>OJK2.2. Have you ever used any of the following products or services? Unit Link / Bancasurrance</v>
      </c>
      <c r="C334" s="23" t="s">
        <v>125</v>
      </c>
      <c r="D334" s="22" t="s">
        <v>31</v>
      </c>
      <c r="E334" s="22">
        <v>1</v>
      </c>
      <c r="F334" s="23" t="s">
        <v>13</v>
      </c>
      <c r="G334" s="22" t="str">
        <f t="shared" si="44"/>
        <v>OJK2_2</v>
      </c>
      <c r="H334" s="188"/>
      <c r="I334" s="172"/>
    </row>
    <row r="335" spans="1:10" customFormat="1" ht="56">
      <c r="A335" s="34" t="str">
        <f>A334&amp;"A"</f>
        <v>OJK2.2A</v>
      </c>
      <c r="B335" s="23" t="str">
        <f>A335&amp;". Was that conventional or sharia, or have you used both conventional and sharia? "&amp;OJK!B3</f>
        <v>OJK2.2A. Was that conventional or sharia, or have you used both conventional and sharia? Unit Link / Bancasurrance</v>
      </c>
      <c r="C335" s="23" t="s">
        <v>193</v>
      </c>
      <c r="D335" s="22" t="s">
        <v>31</v>
      </c>
      <c r="E335" s="22">
        <v>2</v>
      </c>
      <c r="F335" s="23" t="s">
        <v>221</v>
      </c>
      <c r="G335" s="22" t="str">
        <f t="shared" si="44"/>
        <v>OJK2_2A</v>
      </c>
      <c r="H335" s="188"/>
      <c r="I335" s="172"/>
    </row>
    <row r="336" spans="1:10" customFormat="1" ht="28">
      <c r="A336" s="34" t="s">
        <v>222</v>
      </c>
      <c r="B336" s="23" t="str">
        <f>A336&amp;". Have you ever used any of the following products or services? "&amp;OJK!B4</f>
        <v>OJK2.3. Have you ever used any of the following products or services? Education Insurance</v>
      </c>
      <c r="C336" s="23" t="s">
        <v>125</v>
      </c>
      <c r="D336" s="22" t="s">
        <v>31</v>
      </c>
      <c r="E336" s="22">
        <v>1</v>
      </c>
      <c r="F336" s="23" t="s">
        <v>13</v>
      </c>
      <c r="G336" s="22" t="str">
        <f t="shared" si="44"/>
        <v>OJK2_3</v>
      </c>
      <c r="H336" s="188"/>
      <c r="I336" s="172"/>
    </row>
    <row r="337" spans="1:9" customFormat="1" ht="56">
      <c r="A337" s="34" t="str">
        <f>A336&amp;"A"</f>
        <v>OJK2.3A</v>
      </c>
      <c r="B337" s="23" t="str">
        <f>A337&amp;". Was that conventional or sharia, or have you used both conventional and sharia? "&amp;OJK!B4</f>
        <v>OJK2.3A. Was that conventional or sharia, or have you used both conventional and sharia? Education Insurance</v>
      </c>
      <c r="C337" s="23" t="s">
        <v>193</v>
      </c>
      <c r="D337" s="22" t="s">
        <v>31</v>
      </c>
      <c r="E337" s="22">
        <v>2</v>
      </c>
      <c r="F337" s="23" t="s">
        <v>223</v>
      </c>
      <c r="G337" s="22" t="str">
        <f t="shared" si="44"/>
        <v>OJK2_3A</v>
      </c>
      <c r="H337" s="188"/>
      <c r="I337" s="172"/>
    </row>
    <row r="338" spans="1:9" customFormat="1" ht="28">
      <c r="A338" s="34" t="s">
        <v>224</v>
      </c>
      <c r="B338" s="23" t="str">
        <f>A338&amp;". Have you ever used any of the following products or services? "&amp;OJK!B5</f>
        <v>OJK2.4. Have you ever used any of the following products or services? Health Insurance</v>
      </c>
      <c r="C338" s="23" t="s">
        <v>125</v>
      </c>
      <c r="D338" s="22" t="s">
        <v>31</v>
      </c>
      <c r="E338" s="22">
        <v>1</v>
      </c>
      <c r="F338" s="23" t="s">
        <v>13</v>
      </c>
      <c r="G338" s="22" t="str">
        <f t="shared" si="44"/>
        <v>OJK2_4</v>
      </c>
      <c r="H338" s="188"/>
      <c r="I338" s="172"/>
    </row>
    <row r="339" spans="1:9" customFormat="1" ht="56">
      <c r="A339" s="34" t="str">
        <f>A338&amp;"A"</f>
        <v>OJK2.4A</v>
      </c>
      <c r="B339" s="23" t="str">
        <f>A339&amp;". Was that conventional or sharia, or have you used both conventional and sharia? "&amp;OJK!B5</f>
        <v>OJK2.4A. Was that conventional or sharia, or have you used both conventional and sharia? Health Insurance</v>
      </c>
      <c r="C339" s="23" t="s">
        <v>193</v>
      </c>
      <c r="D339" s="22" t="s">
        <v>31</v>
      </c>
      <c r="E339" s="22">
        <v>2</v>
      </c>
      <c r="F339" s="23" t="s">
        <v>225</v>
      </c>
      <c r="G339" s="22" t="str">
        <f t="shared" ref="G339:G366" si="45">SUBSTITUTE(A339,".","_")</f>
        <v>OJK2_4A</v>
      </c>
      <c r="H339" s="188"/>
      <c r="I339" s="172"/>
    </row>
    <row r="340" spans="1:9" customFormat="1" ht="28">
      <c r="A340" s="34" t="s">
        <v>226</v>
      </c>
      <c r="B340" s="23" t="str">
        <f>A340&amp;". Have you ever used any of the following products or services? "&amp;OJK!B6</f>
        <v>OJK2.5. Have you ever used any of the following products or services? Vehicle Insurance</v>
      </c>
      <c r="C340" s="23" t="s">
        <v>125</v>
      </c>
      <c r="D340" s="22" t="s">
        <v>31</v>
      </c>
      <c r="E340" s="22">
        <v>1</v>
      </c>
      <c r="F340" s="23" t="s">
        <v>13</v>
      </c>
      <c r="G340" s="22" t="str">
        <f t="shared" si="45"/>
        <v>OJK2_5</v>
      </c>
      <c r="H340" s="188"/>
      <c r="I340" s="172"/>
    </row>
    <row r="341" spans="1:9" customFormat="1" ht="56">
      <c r="A341" s="34" t="str">
        <f>A340&amp;"A"</f>
        <v>OJK2.5A</v>
      </c>
      <c r="B341" s="23" t="str">
        <f>A341&amp;". Was that conventional or sharia, or have you used both conventional and sharia? "&amp;OJK!B6</f>
        <v>OJK2.5A. Was that conventional or sharia, or have you used both conventional and sharia? Vehicle Insurance</v>
      </c>
      <c r="C341" s="23" t="s">
        <v>193</v>
      </c>
      <c r="D341" s="22" t="s">
        <v>31</v>
      </c>
      <c r="E341" s="22">
        <v>2</v>
      </c>
      <c r="F341" s="23" t="s">
        <v>227</v>
      </c>
      <c r="G341" s="22" t="str">
        <f t="shared" si="45"/>
        <v>OJK2_5A</v>
      </c>
      <c r="H341" s="188"/>
      <c r="I341" s="172"/>
    </row>
    <row r="342" spans="1:9" customFormat="1" ht="28">
      <c r="A342" s="34" t="s">
        <v>228</v>
      </c>
      <c r="B342" s="23" t="str">
        <f>A342&amp;". Have you ever used any of the following products or services? "&amp;OJK!B7</f>
        <v>OJK2.6. Have you ever used any of the following products or services? Accident Insurance</v>
      </c>
      <c r="C342" s="23" t="s">
        <v>125</v>
      </c>
      <c r="D342" s="22" t="s">
        <v>31</v>
      </c>
      <c r="E342" s="22">
        <v>1</v>
      </c>
      <c r="F342" s="23" t="s">
        <v>13</v>
      </c>
      <c r="G342" s="22" t="str">
        <f t="shared" si="45"/>
        <v>OJK2_6</v>
      </c>
      <c r="H342" s="188"/>
      <c r="I342" s="172"/>
    </row>
    <row r="343" spans="1:9" customFormat="1" ht="56">
      <c r="A343" s="34" t="str">
        <f>A342&amp;"A"</f>
        <v>OJK2.6A</v>
      </c>
      <c r="B343" s="23" t="str">
        <f>A343&amp;". Was that conventional or sharia, or have you used both conventional and sharia? "&amp;OJK!B7</f>
        <v>OJK2.6A. Was that conventional or sharia, or have you used both conventional and sharia? Accident Insurance</v>
      </c>
      <c r="C343" s="23" t="s">
        <v>193</v>
      </c>
      <c r="D343" s="22" t="s">
        <v>31</v>
      </c>
      <c r="E343" s="22">
        <v>2</v>
      </c>
      <c r="F343" s="23" t="s">
        <v>229</v>
      </c>
      <c r="G343" s="22" t="str">
        <f t="shared" si="45"/>
        <v>OJK2_6A</v>
      </c>
      <c r="H343" s="188"/>
      <c r="I343" s="172"/>
    </row>
    <row r="344" spans="1:9" customFormat="1" ht="28">
      <c r="A344" s="34" t="s">
        <v>230</v>
      </c>
      <c r="B344" s="23" t="str">
        <f>A344&amp;". Have you ever used any of the following products or services? "&amp;OJK!B8</f>
        <v>OJK2.7. Have you ever used any of the following products or services? Fire Insurance</v>
      </c>
      <c r="C344" s="23" t="s">
        <v>125</v>
      </c>
      <c r="D344" s="22" t="s">
        <v>31</v>
      </c>
      <c r="E344" s="22">
        <v>1</v>
      </c>
      <c r="F344" s="23" t="s">
        <v>13</v>
      </c>
      <c r="G344" s="22" t="str">
        <f t="shared" si="45"/>
        <v>OJK2_7</v>
      </c>
      <c r="H344" s="188"/>
      <c r="I344" s="172"/>
    </row>
    <row r="345" spans="1:9" customFormat="1" ht="56">
      <c r="A345" s="34" t="str">
        <f>A344&amp;"A"</f>
        <v>OJK2.7A</v>
      </c>
      <c r="B345" s="23" t="str">
        <f>A345&amp;". Was that conventional or sharia, or have you used both conventional and sharia? "&amp;OJK!B8</f>
        <v>OJK2.7A. Was that conventional or sharia, or have you used both conventional and sharia? Fire Insurance</v>
      </c>
      <c r="C345" s="23" t="s">
        <v>193</v>
      </c>
      <c r="D345" s="22" t="s">
        <v>31</v>
      </c>
      <c r="E345" s="22">
        <v>2</v>
      </c>
      <c r="F345" s="23" t="s">
        <v>231</v>
      </c>
      <c r="G345" s="22" t="str">
        <f t="shared" si="45"/>
        <v>OJK2_7A</v>
      </c>
      <c r="H345" s="188"/>
      <c r="I345" s="172"/>
    </row>
    <row r="346" spans="1:9" customFormat="1" ht="28">
      <c r="A346" s="34" t="s">
        <v>232</v>
      </c>
      <c r="B346" s="23" t="str">
        <f>A346&amp;". Have you ever used any of the following products or services? "&amp;OJK!B9</f>
        <v>OJK2.8. Have you ever used any of the following products or services? Travel Insurance</v>
      </c>
      <c r="C346" s="23" t="s">
        <v>125</v>
      </c>
      <c r="D346" s="22" t="s">
        <v>31</v>
      </c>
      <c r="E346" s="22">
        <v>1</v>
      </c>
      <c r="F346" s="23" t="s">
        <v>13</v>
      </c>
      <c r="G346" s="22" t="str">
        <f t="shared" si="45"/>
        <v>OJK2_8</v>
      </c>
      <c r="H346" s="188"/>
      <c r="I346" s="172"/>
    </row>
    <row r="347" spans="1:9" customFormat="1" ht="56">
      <c r="A347" s="34" t="str">
        <f>A346&amp;"A"</f>
        <v>OJK2.8A</v>
      </c>
      <c r="B347" s="23" t="str">
        <f>A347&amp;". Was that conventional or sharia, or have you used both conventional and sharia? "&amp;OJK!B9</f>
        <v>OJK2.8A. Was that conventional or sharia, or have you used both conventional and sharia? Travel Insurance</v>
      </c>
      <c r="C347" s="23" t="s">
        <v>193</v>
      </c>
      <c r="D347" s="22" t="s">
        <v>31</v>
      </c>
      <c r="E347" s="22">
        <v>2</v>
      </c>
      <c r="F347" s="23" t="s">
        <v>233</v>
      </c>
      <c r="G347" s="22" t="str">
        <f t="shared" si="45"/>
        <v>OJK2_8A</v>
      </c>
      <c r="H347" s="188"/>
      <c r="I347" s="172"/>
    </row>
    <row r="348" spans="1:9" customFormat="1" ht="28">
      <c r="A348" s="34" t="s">
        <v>234</v>
      </c>
      <c r="B348" s="23" t="str">
        <f>A348&amp;". Have you ever used any of the following products or services? "&amp;OJK!B10</f>
        <v>OJK2.9. Have you ever used any of the following products or services? Agricultural/Fisherman/Livestock Insurance</v>
      </c>
      <c r="C348" s="23" t="s">
        <v>125</v>
      </c>
      <c r="D348" s="22" t="s">
        <v>31</v>
      </c>
      <c r="E348" s="22">
        <v>1</v>
      </c>
      <c r="F348" s="23" t="s">
        <v>13</v>
      </c>
      <c r="G348" s="22" t="str">
        <f t="shared" si="45"/>
        <v>OJK2_9</v>
      </c>
      <c r="H348" s="188"/>
      <c r="I348" s="172"/>
    </row>
    <row r="349" spans="1:9" customFormat="1" ht="56">
      <c r="A349" s="34" t="str">
        <f>A348&amp;"A"</f>
        <v>OJK2.9A</v>
      </c>
      <c r="B349" s="23" t="str">
        <f>A349&amp;". Was that conventional or sharia, or have you used both conventional and sharia? "&amp;OJK!B10</f>
        <v>OJK2.9A. Was that conventional or sharia, or have you used both conventional and sharia? Agricultural/Fisherman/Livestock Insurance</v>
      </c>
      <c r="C349" s="23" t="s">
        <v>193</v>
      </c>
      <c r="D349" s="22" t="s">
        <v>31</v>
      </c>
      <c r="E349" s="22">
        <v>2</v>
      </c>
      <c r="F349" s="23" t="s">
        <v>235</v>
      </c>
      <c r="G349" s="22" t="str">
        <f t="shared" si="45"/>
        <v>OJK2_9A</v>
      </c>
      <c r="H349" s="188"/>
      <c r="I349" s="172"/>
    </row>
    <row r="350" spans="1:9" customFormat="1" ht="28">
      <c r="A350" s="34" t="s">
        <v>236</v>
      </c>
      <c r="B350" s="23" t="str">
        <f>A350&amp;". Have you ever used any of the following products or services? "&amp;OJK!B11</f>
        <v xml:space="preserve">OJK2.10. Have you ever used any of the following products or services? Micro Insurance (Maximum insurance coverage Rp. 50 million, maximum insurance premium Rp. 50,000)                                                                                                                                   </v>
      </c>
      <c r="C350" s="23" t="s">
        <v>125</v>
      </c>
      <c r="D350" s="22" t="s">
        <v>31</v>
      </c>
      <c r="E350" s="22">
        <v>1</v>
      </c>
      <c r="F350" s="23" t="s">
        <v>13</v>
      </c>
      <c r="G350" s="22" t="str">
        <f t="shared" si="45"/>
        <v>OJK2_10</v>
      </c>
      <c r="H350" s="188"/>
      <c r="I350" s="172"/>
    </row>
    <row r="351" spans="1:9" customFormat="1" ht="56">
      <c r="A351" s="34" t="s">
        <v>237</v>
      </c>
      <c r="B351" s="23" t="str">
        <f>A351&amp;". Was that conventional or sharia, or have you used both conventional and sharia? "&amp;OJK!B11</f>
        <v xml:space="preserve">OJK2.10A. Was that conventional or sharia, or have you used both conventional and sharia? Micro Insurance (Maximum insurance coverage Rp. 50 million, maximum insurance premium Rp. 50,000)                                                                                                                                   </v>
      </c>
      <c r="C351" s="23" t="s">
        <v>193</v>
      </c>
      <c r="D351" s="22" t="s">
        <v>31</v>
      </c>
      <c r="E351" s="22">
        <v>2</v>
      </c>
      <c r="F351" s="23" t="s">
        <v>238</v>
      </c>
      <c r="G351" s="22" t="str">
        <f t="shared" ref="G351:G352" si="46">SUBSTITUTE(A351,".","_")</f>
        <v>OJK2_10A</v>
      </c>
      <c r="H351" s="188"/>
      <c r="I351" s="172"/>
    </row>
    <row r="352" spans="1:9" customFormat="1" ht="28">
      <c r="A352" s="34" t="s">
        <v>239</v>
      </c>
      <c r="B352" s="23" t="str">
        <f>A352&amp;". Have you ever used any of the following products or services? "&amp;OJK!B12</f>
        <v>OJK2.11. Have you ever used any of the following products or services? Another insurance product or service that I didn't mention</v>
      </c>
      <c r="C352" s="23" t="s">
        <v>125</v>
      </c>
      <c r="D352" s="22" t="s">
        <v>31</v>
      </c>
      <c r="E352" s="22">
        <v>1</v>
      </c>
      <c r="F352" s="23" t="s">
        <v>13</v>
      </c>
      <c r="G352" s="22" t="str">
        <f t="shared" si="46"/>
        <v>OJK2_11</v>
      </c>
      <c r="H352" s="188"/>
      <c r="I352" s="172"/>
    </row>
    <row r="353" spans="1:11" customFormat="1" ht="84">
      <c r="A353" s="36" t="s">
        <v>301</v>
      </c>
      <c r="B353" s="228" t="str">
        <f>A353&amp;". When was the last time you did transaction / activities in "&amp;OJK!B2&amp;" Product (paid an insurance premium, received a claim settlement form, etc)?"</f>
        <v>OJK15.1. When was the last time you did transaction / activities in Life Insurance Product (paid an insurance premium, received a claim settlement form, etc)?</v>
      </c>
      <c r="C353" s="32" t="s">
        <v>289</v>
      </c>
      <c r="D353" s="24" t="s">
        <v>31</v>
      </c>
      <c r="E353" s="24">
        <v>1</v>
      </c>
      <c r="F353" s="35" t="s">
        <v>219</v>
      </c>
      <c r="G353" s="24" t="str">
        <f t="shared" ref="G353:G362" si="47">SUBSTITUTE(A353,".","_")</f>
        <v>OJK15_1</v>
      </c>
      <c r="H353" s="188"/>
      <c r="I353" s="172"/>
    </row>
    <row r="354" spans="1:11" customFormat="1" ht="84">
      <c r="A354" s="34" t="s">
        <v>302</v>
      </c>
      <c r="B354" s="228" t="str">
        <f>A354&amp;". When was the last time you did transaction / activities in "&amp;OJK!B3&amp;" Product (paid an insurance premium, received a claim settlement form, etc)?"</f>
        <v>OJK15.2. When was the last time you did transaction / activities in Unit Link / Bancasurrance Product (paid an insurance premium, received a claim settlement form, etc)?</v>
      </c>
      <c r="C354" s="32" t="s">
        <v>289</v>
      </c>
      <c r="D354" s="22" t="s">
        <v>31</v>
      </c>
      <c r="E354" s="22">
        <v>1</v>
      </c>
      <c r="F354" s="23" t="s">
        <v>221</v>
      </c>
      <c r="G354" s="22" t="str">
        <f t="shared" si="47"/>
        <v>OJK15_2</v>
      </c>
      <c r="H354" s="188"/>
      <c r="I354" s="172"/>
    </row>
    <row r="355" spans="1:11" customFormat="1" ht="84">
      <c r="A355" s="34" t="s">
        <v>303</v>
      </c>
      <c r="B355" s="228" t="str">
        <f>A355&amp;". When was the last time you did transaction / activities in "&amp;OJK!B4&amp;" Product (paid an insurance premium, received a claim settlement form, etc)?"</f>
        <v>OJK15.3. When was the last time you did transaction / activities in Education Insurance Product (paid an insurance premium, received a claim settlement form, etc)?</v>
      </c>
      <c r="C355" s="32" t="s">
        <v>289</v>
      </c>
      <c r="D355" s="22" t="s">
        <v>31</v>
      </c>
      <c r="E355" s="22">
        <v>1</v>
      </c>
      <c r="F355" s="23" t="s">
        <v>223</v>
      </c>
      <c r="G355" s="22" t="str">
        <f t="shared" si="47"/>
        <v>OJK15_3</v>
      </c>
      <c r="H355" s="188"/>
      <c r="I355" s="172"/>
    </row>
    <row r="356" spans="1:11" customFormat="1" ht="84">
      <c r="A356" s="34" t="s">
        <v>304</v>
      </c>
      <c r="B356" s="228" t="str">
        <f>A356&amp;". When was the last time you did transaction / activities in "&amp;OJK!B5&amp;" Product (paid an insurance premium, received a claim settlement form, etc)?"</f>
        <v>OJK15.4. When was the last time you did transaction / activities in Health Insurance Product (paid an insurance premium, received a claim settlement form, etc)?</v>
      </c>
      <c r="C356" s="32" t="s">
        <v>289</v>
      </c>
      <c r="D356" s="22" t="s">
        <v>31</v>
      </c>
      <c r="E356" s="22">
        <v>1</v>
      </c>
      <c r="F356" s="23" t="s">
        <v>225</v>
      </c>
      <c r="G356" s="22" t="str">
        <f t="shared" si="47"/>
        <v>OJK15_4</v>
      </c>
      <c r="H356" s="188"/>
      <c r="I356" s="172"/>
    </row>
    <row r="357" spans="1:11" customFormat="1" ht="84">
      <c r="A357" s="34" t="s">
        <v>305</v>
      </c>
      <c r="B357" s="228" t="str">
        <f>A357&amp;". When was the last time you did transaction / activities in "&amp;OJK!B6&amp;" Product (paid an insurance premium, received a claim settlement form, etc)?"</f>
        <v>OJK15.5. When was the last time you did transaction / activities in Vehicle Insurance Product (paid an insurance premium, received a claim settlement form, etc)?</v>
      </c>
      <c r="C357" s="32" t="s">
        <v>289</v>
      </c>
      <c r="D357" s="22" t="s">
        <v>31</v>
      </c>
      <c r="E357" s="22">
        <v>1</v>
      </c>
      <c r="F357" s="23" t="s">
        <v>227</v>
      </c>
      <c r="G357" s="22" t="str">
        <f t="shared" si="47"/>
        <v>OJK15_5</v>
      </c>
      <c r="H357" s="188"/>
      <c r="I357" s="172"/>
    </row>
    <row r="358" spans="1:11" customFormat="1" ht="84">
      <c r="A358" s="34" t="s">
        <v>306</v>
      </c>
      <c r="B358" s="228" t="str">
        <f>A358&amp;". When was the last time you did transaction / activities in "&amp;OJK!B7&amp;" Product (paid an insurance premium, received a claim settlement form, etc)?"</f>
        <v>OJK15.6. When was the last time you did transaction / activities in Accident Insurance Product (paid an insurance premium, received a claim settlement form, etc)?</v>
      </c>
      <c r="C358" s="32" t="s">
        <v>289</v>
      </c>
      <c r="D358" s="22" t="s">
        <v>31</v>
      </c>
      <c r="E358" s="22">
        <v>1</v>
      </c>
      <c r="F358" s="23" t="s">
        <v>229</v>
      </c>
      <c r="G358" s="22" t="str">
        <f t="shared" si="47"/>
        <v>OJK15_6</v>
      </c>
      <c r="H358" s="188"/>
      <c r="I358" s="172"/>
    </row>
    <row r="359" spans="1:11" customFormat="1" ht="84">
      <c r="A359" s="34" t="s">
        <v>307</v>
      </c>
      <c r="B359" s="228" t="str">
        <f>A359&amp;". When was the last time you did transaction / activities in "&amp;OJK!B8&amp;" Product (paid an insurance premium, received a claim settlement form, etc)?"</f>
        <v>OJK15.7. When was the last time you did transaction / activities in Fire Insurance Product (paid an insurance premium, received a claim settlement form, etc)?</v>
      </c>
      <c r="C359" s="32" t="s">
        <v>289</v>
      </c>
      <c r="D359" s="22" t="s">
        <v>31</v>
      </c>
      <c r="E359" s="22">
        <v>1</v>
      </c>
      <c r="F359" s="23" t="s">
        <v>231</v>
      </c>
      <c r="G359" s="22" t="str">
        <f t="shared" si="47"/>
        <v>OJK15_7</v>
      </c>
      <c r="H359" s="188"/>
      <c r="I359" s="172"/>
    </row>
    <row r="360" spans="1:11" customFormat="1" ht="84">
      <c r="A360" s="34" t="s">
        <v>308</v>
      </c>
      <c r="B360" s="228" t="str">
        <f>A360&amp;". When was the last time you did transaction / activities in "&amp;OJK!B9&amp;" Product (paid an insurance premium, received a claim settlement form, etc)?"</f>
        <v>OJK15.8. When was the last time you did transaction / activities in Travel Insurance Product (paid an insurance premium, received a claim settlement form, etc)?</v>
      </c>
      <c r="C360" s="32" t="s">
        <v>289</v>
      </c>
      <c r="D360" s="22" t="s">
        <v>31</v>
      </c>
      <c r="E360" s="22">
        <v>1</v>
      </c>
      <c r="F360" s="23" t="s">
        <v>233</v>
      </c>
      <c r="G360" s="22" t="str">
        <f t="shared" si="47"/>
        <v>OJK15_8</v>
      </c>
      <c r="H360" s="188"/>
      <c r="I360" s="172"/>
    </row>
    <row r="361" spans="1:11" customFormat="1" ht="84">
      <c r="A361" s="34" t="s">
        <v>309</v>
      </c>
      <c r="B361" s="228" t="str">
        <f>A361&amp;". When was the last time you did transaction / activities in "&amp;OJK!B10&amp;" Product (paid an insurance premium, received a claim settlement form, etc)?"</f>
        <v>OJK15.9. When was the last time you did transaction / activities in Agricultural/Fisherman/Livestock Insurance Product (paid an insurance premium, received a claim settlement form, etc)?</v>
      </c>
      <c r="C361" s="32" t="s">
        <v>289</v>
      </c>
      <c r="D361" s="22" t="s">
        <v>31</v>
      </c>
      <c r="E361" s="22">
        <v>1</v>
      </c>
      <c r="F361" s="23" t="s">
        <v>235</v>
      </c>
      <c r="G361" s="22" t="str">
        <f t="shared" si="47"/>
        <v>OJK15_9</v>
      </c>
      <c r="H361" s="188"/>
      <c r="I361" s="172"/>
    </row>
    <row r="362" spans="1:11" customFormat="1" ht="84">
      <c r="A362" s="34" t="s">
        <v>310</v>
      </c>
      <c r="B362" s="228" t="str">
        <f>A362&amp;". When was the last time you did transaction / activities in "&amp;OJK!B11&amp;" Product (paid an insurance premium, received a claim settlement form, etc)?"</f>
        <v>OJK15.10. When was the last time you did transaction / activities in Micro Insurance (Maximum insurance coverage Rp. 50 million, maximum insurance premium Rp. 50,000)                                                                                                                                    Product (paid an insurance premium, received a claim settlement form, etc)?</v>
      </c>
      <c r="C362" s="32" t="s">
        <v>289</v>
      </c>
      <c r="D362" s="22" t="s">
        <v>31</v>
      </c>
      <c r="E362" s="22">
        <v>1</v>
      </c>
      <c r="F362" s="23" t="s">
        <v>238</v>
      </c>
      <c r="G362" s="22" t="str">
        <f t="shared" si="47"/>
        <v>OJK15_10</v>
      </c>
      <c r="H362" s="188"/>
      <c r="I362" s="172"/>
    </row>
    <row r="363" spans="1:11" customFormat="1" ht="28">
      <c r="A363" s="33" t="s">
        <v>249</v>
      </c>
      <c r="B363" s="23" t="str">
        <f>A363&amp;". Have you ever used any of the following products or services of a pension fund? "&amp;OJK!E2</f>
        <v>OJK5.1. Have you ever used any of the following products or services of a pension fund? Defined Benefit Pension Program (PPMP)</v>
      </c>
      <c r="C363" s="23" t="s">
        <v>125</v>
      </c>
      <c r="D363" s="22" t="s">
        <v>31</v>
      </c>
      <c r="E363" s="22">
        <v>1</v>
      </c>
      <c r="F363" s="23" t="s">
        <v>13</v>
      </c>
      <c r="G363" s="22" t="str">
        <f t="shared" si="45"/>
        <v>OJK5_1</v>
      </c>
      <c r="H363" s="188"/>
      <c r="I363" s="172"/>
    </row>
    <row r="364" spans="1:11" customFormat="1" ht="56">
      <c r="A364" s="34" t="str">
        <f>A363&amp;"A"</f>
        <v>OJK5.1A</v>
      </c>
      <c r="B364" s="23" t="str">
        <f>A364&amp;". Was that conventional or sharia, or have you used both conventional and sharia? "&amp;OJK!E2</f>
        <v>OJK5.1A. Was that conventional or sharia, or have you used both conventional and sharia? Defined Benefit Pension Program (PPMP)</v>
      </c>
      <c r="C364" s="23" t="s">
        <v>193</v>
      </c>
      <c r="D364" s="22" t="s">
        <v>31</v>
      </c>
      <c r="E364" s="22">
        <v>2</v>
      </c>
      <c r="F364" s="23" t="s">
        <v>250</v>
      </c>
      <c r="G364" s="22" t="str">
        <f t="shared" si="45"/>
        <v>OJK5_1A</v>
      </c>
      <c r="H364" s="188"/>
      <c r="I364" s="172"/>
    </row>
    <row r="365" spans="1:11" customFormat="1" ht="28">
      <c r="A365" s="33" t="s">
        <v>251</v>
      </c>
      <c r="B365" s="23" t="str">
        <f>A365&amp;". Have you ever used any of the following products or services of a pension fund? "&amp;OJK!E3</f>
        <v>OJK5.2. Have you ever used any of the following products or services of a pension fund? Defined Contribution Pension Program (PPIP)</v>
      </c>
      <c r="C365" s="23" t="s">
        <v>125</v>
      </c>
      <c r="D365" s="22" t="s">
        <v>31</v>
      </c>
      <c r="E365" s="22">
        <v>1</v>
      </c>
      <c r="F365" s="23" t="s">
        <v>13</v>
      </c>
      <c r="G365" s="22" t="str">
        <f t="shared" si="45"/>
        <v>OJK5_2</v>
      </c>
      <c r="H365" s="188"/>
      <c r="I365" s="172"/>
    </row>
    <row r="366" spans="1:11" s="29" customFormat="1" ht="56">
      <c r="A366" s="34" t="str">
        <f>A365&amp;"A"</f>
        <v>OJK5.2A</v>
      </c>
      <c r="B366" s="23" t="str">
        <f>A366&amp;". Was that conventional or sharia, or have you used both conventional and sharia? "&amp;OJK!E3</f>
        <v>OJK5.2A. Was that conventional or sharia, or have you used both conventional and sharia? Defined Contribution Pension Program (PPIP)</v>
      </c>
      <c r="C366" s="23" t="s">
        <v>193</v>
      </c>
      <c r="D366" s="22" t="s">
        <v>31</v>
      </c>
      <c r="E366" s="22">
        <v>2</v>
      </c>
      <c r="F366" s="23" t="s">
        <v>252</v>
      </c>
      <c r="G366" s="22" t="str">
        <f t="shared" si="45"/>
        <v>OJK5_2A</v>
      </c>
      <c r="H366" s="188"/>
      <c r="I366" s="172"/>
    </row>
    <row r="367" spans="1:11" s="29" customFormat="1" ht="28">
      <c r="A367" s="33" t="s">
        <v>253</v>
      </c>
      <c r="B367" s="23" t="str">
        <f>A367&amp;". Have you ever used any of the following products or services of a pension fund? "&amp;OJK!E4</f>
        <v>OJK5.3. Have you ever used any of the following products or services of a pension fund? Another product or service that I didn't mention</v>
      </c>
      <c r="C367" s="23" t="s">
        <v>125</v>
      </c>
      <c r="D367" s="22" t="s">
        <v>31</v>
      </c>
      <c r="E367" s="22">
        <v>1</v>
      </c>
      <c r="F367" s="23" t="s">
        <v>13</v>
      </c>
      <c r="G367" s="22" t="str">
        <f t="shared" ref="G367:G412" si="48">SUBSTITUTE(A367,".","_")</f>
        <v>OJK5_3</v>
      </c>
      <c r="H367" s="188"/>
      <c r="I367" s="172"/>
    </row>
    <row r="368" spans="1:11" ht="84">
      <c r="A368" s="195" t="s">
        <v>315</v>
      </c>
      <c r="B368" s="196" t="str">
        <f>A368&amp;". When was the last time you "&amp;OJK!E5&amp;"?"</f>
        <v>OJK18.1. When was the last time you received a payment from or made a contribution to a defined benefit pension program (PPMP)?</v>
      </c>
      <c r="C368" s="205" t="s">
        <v>289</v>
      </c>
      <c r="D368" s="197" t="s">
        <v>31</v>
      </c>
      <c r="E368" s="197">
        <v>1</v>
      </c>
      <c r="F368" s="196" t="s">
        <v>250</v>
      </c>
      <c r="G368" s="197" t="str">
        <f t="shared" ref="G368:G374" si="49">SUBSTITUTE(A368,".","_")</f>
        <v>OJK18_1</v>
      </c>
      <c r="H368" s="188"/>
      <c r="I368" s="164"/>
      <c r="J368" s="1"/>
      <c r="K368" s="1"/>
    </row>
    <row r="369" spans="1:11" ht="84">
      <c r="A369" s="195" t="s">
        <v>316</v>
      </c>
      <c r="B369" s="196" t="str">
        <f>A369&amp;". When was the last time you "&amp;OJK!E6&amp;"?"</f>
        <v>OJK18.2. When was the last time you received a payment from or made a contribution to a defined contribution pension program (PPIP)?</v>
      </c>
      <c r="C369" s="205" t="s">
        <v>289</v>
      </c>
      <c r="D369" s="197" t="s">
        <v>31</v>
      </c>
      <c r="E369" s="197">
        <v>1</v>
      </c>
      <c r="F369" s="196" t="s">
        <v>252</v>
      </c>
      <c r="G369" s="197" t="str">
        <f t="shared" si="49"/>
        <v>OJK18_2</v>
      </c>
      <c r="H369" s="188"/>
      <c r="I369" s="164"/>
      <c r="J369" s="1"/>
      <c r="K369" s="1"/>
    </row>
    <row r="370" spans="1:11" s="29" customFormat="1" ht="28">
      <c r="A370" s="33" t="s">
        <v>285</v>
      </c>
      <c r="B370" s="23" t="str">
        <f>A370&amp;". Have you ever used any of the following products or services from a lembaga keuangan mikro? "&amp;OJK!K2</f>
        <v>OJK13.1. Have you ever used any of the following products or services from a lembaga keuangan mikro? Savings/Deposits</v>
      </c>
      <c r="C370" s="23" t="s">
        <v>125</v>
      </c>
      <c r="D370" s="22" t="s">
        <v>31</v>
      </c>
      <c r="E370" s="22">
        <v>1</v>
      </c>
      <c r="F370" s="23" t="s">
        <v>13</v>
      </c>
      <c r="G370" s="22" t="str">
        <f t="shared" si="49"/>
        <v>OJK13_1</v>
      </c>
      <c r="H370" s="188"/>
      <c r="I370" s="172"/>
    </row>
    <row r="371" spans="1:11" s="29" customFormat="1" ht="56">
      <c r="A371" s="34" t="str">
        <f>A370&amp;"A"</f>
        <v>OJK13.1A</v>
      </c>
      <c r="B371" s="23" t="str">
        <f>A371&amp;". Was that conventional or sharia, or have you used both conventional and sharia? "&amp;OJK!K2</f>
        <v>OJK13.1A. Was that conventional or sharia, or have you used both conventional and sharia? Savings/Deposits</v>
      </c>
      <c r="C371" s="23" t="s">
        <v>193</v>
      </c>
      <c r="D371" s="22" t="s">
        <v>31</v>
      </c>
      <c r="E371" s="22">
        <v>2</v>
      </c>
      <c r="F371" s="23" t="s">
        <v>339</v>
      </c>
      <c r="G371" s="22" t="str">
        <f t="shared" si="49"/>
        <v>OJK13_1A</v>
      </c>
      <c r="H371" s="188"/>
      <c r="I371" s="172"/>
    </row>
    <row r="372" spans="1:11" s="29" customFormat="1" ht="28">
      <c r="A372" s="33" t="s">
        <v>286</v>
      </c>
      <c r="B372" s="23" t="str">
        <f>A372&amp;". Have you ever used any of the following products or services from a lembaga keuangan mikro? "&amp;OJK!K3</f>
        <v>OJK13.2. Have you ever used any of the following products or services from a lembaga keuangan mikro? Loan</v>
      </c>
      <c r="C372" s="23" t="s">
        <v>125</v>
      </c>
      <c r="D372" s="22" t="s">
        <v>31</v>
      </c>
      <c r="E372" s="22">
        <v>1</v>
      </c>
      <c r="F372" s="23" t="s">
        <v>13</v>
      </c>
      <c r="G372" s="22" t="str">
        <f t="shared" si="49"/>
        <v>OJK13_2</v>
      </c>
      <c r="H372" s="188"/>
      <c r="I372" s="172"/>
    </row>
    <row r="373" spans="1:11" s="29" customFormat="1" ht="56">
      <c r="A373" s="34" t="str">
        <f>A372&amp;"A"</f>
        <v>OJK13.2A</v>
      </c>
      <c r="B373" s="23" t="str">
        <f>A373&amp;". Was that conventional or sharia, or have you used both conventional and sharia? "&amp;OJK!K3</f>
        <v>OJK13.2A. Was that conventional or sharia, or have you used both conventional and sharia? Loan</v>
      </c>
      <c r="C373" s="23" t="s">
        <v>193</v>
      </c>
      <c r="D373" s="22" t="s">
        <v>31</v>
      </c>
      <c r="E373" s="22">
        <v>2</v>
      </c>
      <c r="F373" s="217" t="s">
        <v>341</v>
      </c>
      <c r="G373" s="22" t="str">
        <f t="shared" si="49"/>
        <v>OJK13_2A</v>
      </c>
      <c r="H373" s="188"/>
      <c r="I373" s="172"/>
    </row>
    <row r="374" spans="1:11" s="29" customFormat="1" ht="28">
      <c r="A374" s="33" t="s">
        <v>287</v>
      </c>
      <c r="B374" s="44" t="str">
        <f>A374&amp;". Have you ever used any of the following products or services from a lembaga keuangan mikro? "&amp;OJK!K4</f>
        <v>OJK13.3. Have you ever used any of the following products or services from a lembaga keuangan mikro? Another product or service that I didn't mention</v>
      </c>
      <c r="C374" s="23" t="s">
        <v>125</v>
      </c>
      <c r="D374" s="22" t="s">
        <v>31</v>
      </c>
      <c r="E374" s="22">
        <v>1</v>
      </c>
      <c r="F374" s="23" t="s">
        <v>13</v>
      </c>
      <c r="G374" s="22" t="str">
        <f t="shared" si="49"/>
        <v>OJK13_3</v>
      </c>
      <c r="H374" s="188"/>
      <c r="I374" s="172"/>
    </row>
    <row r="375" spans="1:11" s="29" customFormat="1" ht="42">
      <c r="A375" s="225" t="s">
        <v>2916</v>
      </c>
      <c r="B375" s="217" t="str">
        <f>A375&amp;". Does the lembaga keuangan mikro offer any of the following things: a debit/ATM card, credit card, electronic transfer to another account, or a website or mobile phone application?"</f>
        <v>LKM1. Does the lembaga keuangan mikro offer any of the following things: a debit/ATM card, credit card, electronic transfer to another account, or a website or mobile phone application?</v>
      </c>
      <c r="C375" s="217" t="s">
        <v>125</v>
      </c>
      <c r="D375" s="219" t="s">
        <v>31</v>
      </c>
      <c r="E375" s="219">
        <v>1</v>
      </c>
      <c r="F375" s="217" t="s">
        <v>2917</v>
      </c>
      <c r="G375" s="219" t="str">
        <f t="shared" ref="G375" si="50">SUBSTITUTE(A375,".","_")</f>
        <v>LKM1</v>
      </c>
      <c r="H375" s="188"/>
      <c r="I375" s="172"/>
    </row>
    <row r="376" spans="1:11" s="1" customFormat="1" ht="84">
      <c r="A376" s="225" t="s">
        <v>334</v>
      </c>
      <c r="B376" s="217" t="str">
        <f>A376&amp;". When was the last time you "&amp;OJK!K5&amp;"?"</f>
        <v>OJK24.1. When was the last time you put money in savings/deposits at a microfinance institution (Lembaga Keuangan Mikro)?</v>
      </c>
      <c r="C376" s="226" t="s">
        <v>289</v>
      </c>
      <c r="D376" s="219" t="s">
        <v>31</v>
      </c>
      <c r="E376" s="219">
        <v>1</v>
      </c>
      <c r="F376" s="217" t="s">
        <v>339</v>
      </c>
      <c r="G376" s="219" t="str">
        <f t="shared" ref="G376:G377" si="51">SUBSTITUTE(A376,".","_")</f>
        <v>OJK24_1</v>
      </c>
      <c r="H376" s="188"/>
      <c r="I376" s="164"/>
    </row>
    <row r="377" spans="1:11" s="1" customFormat="1" ht="84">
      <c r="A377" s="225" t="s">
        <v>335</v>
      </c>
      <c r="B377" s="217" t="str">
        <f>A377&amp;". When was the last time you "&amp;OJK!K6&amp;"?"</f>
        <v>OJK24.2. When was the last time you took a loan or made a payment on a loan at a microfinance institution (Lembaga Keuangan Mikro)?</v>
      </c>
      <c r="C377" s="226" t="s">
        <v>289</v>
      </c>
      <c r="D377" s="219" t="s">
        <v>31</v>
      </c>
      <c r="E377" s="219">
        <v>1</v>
      </c>
      <c r="F377" s="217" t="s">
        <v>341</v>
      </c>
      <c r="G377" s="219" t="str">
        <f t="shared" si="51"/>
        <v>OJK24_2</v>
      </c>
      <c r="H377" s="188"/>
      <c r="I377" s="164"/>
    </row>
    <row r="378" spans="1:11" s="29" customFormat="1" ht="28">
      <c r="A378" s="33" t="s">
        <v>254</v>
      </c>
      <c r="B378" s="23" t="str">
        <f>A378&amp;". Have you ever used any of the following products or services of a pawnshop? "&amp;OJK!F2</f>
        <v>OJK6.1. Have you ever used any of the following products or services of a pawnshop? Loan with collateral</v>
      </c>
      <c r="C378" s="23" t="s">
        <v>125</v>
      </c>
      <c r="D378" s="22" t="s">
        <v>31</v>
      </c>
      <c r="E378" s="22">
        <v>1</v>
      </c>
      <c r="F378" s="23" t="s">
        <v>13</v>
      </c>
      <c r="G378" s="22" t="str">
        <f t="shared" si="48"/>
        <v>OJK6_1</v>
      </c>
      <c r="H378" s="188"/>
      <c r="I378" s="172"/>
    </row>
    <row r="379" spans="1:11" customFormat="1" ht="56">
      <c r="A379" s="34" t="str">
        <f>A378&amp;"A"</f>
        <v>OJK6.1A</v>
      </c>
      <c r="B379" s="23" t="str">
        <f>A379&amp;". Was that conventional or sharia, or have you used both conventional and sharia? "&amp;OJK!F2</f>
        <v>OJK6.1A. Was that conventional or sharia, or have you used both conventional and sharia? Loan with collateral</v>
      </c>
      <c r="C379" s="23" t="s">
        <v>193</v>
      </c>
      <c r="D379" s="22" t="s">
        <v>31</v>
      </c>
      <c r="E379" s="22">
        <v>2</v>
      </c>
      <c r="F379" s="23" t="s">
        <v>255</v>
      </c>
      <c r="G379" s="22" t="str">
        <f t="shared" si="48"/>
        <v>OJK6_1A</v>
      </c>
      <c r="H379" s="188"/>
      <c r="I379" s="172"/>
    </row>
    <row r="380" spans="1:11" customFormat="1" ht="28">
      <c r="A380" s="33" t="s">
        <v>256</v>
      </c>
      <c r="B380" s="23" t="str">
        <f>A380&amp;". Have you ever used any of the following products or services of a pawnshop? "&amp;OJK!F3</f>
        <v>OJK6.2. Have you ever used any of the following products or services of a pawnshop? Loan with fiduciary</v>
      </c>
      <c r="C380" s="23" t="s">
        <v>125</v>
      </c>
      <c r="D380" s="22" t="s">
        <v>31</v>
      </c>
      <c r="E380" s="22">
        <v>1</v>
      </c>
      <c r="F380" s="23" t="s">
        <v>13</v>
      </c>
      <c r="G380" s="22" t="str">
        <f t="shared" si="48"/>
        <v>OJK6_2</v>
      </c>
      <c r="H380" s="188"/>
      <c r="I380" s="172"/>
    </row>
    <row r="381" spans="1:11" customFormat="1" ht="56">
      <c r="A381" s="34" t="str">
        <f>A380&amp;"A"</f>
        <v>OJK6.2A</v>
      </c>
      <c r="B381" s="23" t="str">
        <f>A381&amp;". Was that conventional or sharia, or have you used both conventional and sharia? "&amp;OJK!F3</f>
        <v>OJK6.2A. Was that conventional or sharia, or have you used both conventional and sharia? Loan with fiduciary</v>
      </c>
      <c r="C381" s="23" t="s">
        <v>193</v>
      </c>
      <c r="D381" s="22" t="s">
        <v>31</v>
      </c>
      <c r="E381" s="22">
        <v>2</v>
      </c>
      <c r="F381" s="23" t="s">
        <v>257</v>
      </c>
      <c r="G381" s="22" t="str">
        <f t="shared" si="48"/>
        <v>OJK6_2A</v>
      </c>
      <c r="H381" s="188"/>
      <c r="I381" s="172"/>
    </row>
    <row r="382" spans="1:11" s="29" customFormat="1" ht="28">
      <c r="A382" s="33" t="s">
        <v>258</v>
      </c>
      <c r="B382" s="23" t="str">
        <f>A382&amp;". Have you ever used any of the following products or services of a pawnshop? "&amp;OJK!F4</f>
        <v>OJK6.3. Have you ever used any of the following products or services of a pawnshop? Gold/precious metals investment</v>
      </c>
      <c r="C382" s="23" t="s">
        <v>125</v>
      </c>
      <c r="D382" s="22" t="s">
        <v>31</v>
      </c>
      <c r="E382" s="22">
        <v>1</v>
      </c>
      <c r="F382" s="23" t="s">
        <v>13</v>
      </c>
      <c r="G382" s="22" t="str">
        <f t="shared" si="48"/>
        <v>OJK6_3</v>
      </c>
      <c r="H382" s="188"/>
      <c r="I382" s="172"/>
    </row>
    <row r="383" spans="1:11" customFormat="1" ht="56">
      <c r="A383" s="34" t="str">
        <f>A382&amp;"A"</f>
        <v>OJK6.3A</v>
      </c>
      <c r="B383" s="23" t="str">
        <f>A383&amp;". Was that conventional or sharia, or have you used both conventional and sharia? "&amp;OJK!F4</f>
        <v>OJK6.3A. Was that conventional or sharia, or have you used both conventional and sharia? Gold/precious metals investment</v>
      </c>
      <c r="C383" s="23" t="s">
        <v>193</v>
      </c>
      <c r="D383" s="22" t="s">
        <v>31</v>
      </c>
      <c r="E383" s="22">
        <v>2</v>
      </c>
      <c r="F383" s="23" t="s">
        <v>259</v>
      </c>
      <c r="G383" s="22" t="str">
        <f t="shared" si="48"/>
        <v>OJK6_3A</v>
      </c>
      <c r="H383" s="188"/>
      <c r="I383" s="172"/>
    </row>
    <row r="384" spans="1:11" customFormat="1" ht="28">
      <c r="A384" s="33" t="s">
        <v>260</v>
      </c>
      <c r="B384" s="23" t="str">
        <f>A384&amp;". Have you ever used any of the following products or services of a pawnshop? "&amp;OJK!F5</f>
        <v>OJK6.4. Have you ever used any of the following products or services of a pawnshop? Another product or service that I didn't mention</v>
      </c>
      <c r="C384" s="23" t="s">
        <v>125</v>
      </c>
      <c r="D384" s="22" t="s">
        <v>31</v>
      </c>
      <c r="E384" s="22">
        <v>1</v>
      </c>
      <c r="F384" s="23" t="s">
        <v>13</v>
      </c>
      <c r="G384" s="22" t="str">
        <f t="shared" si="48"/>
        <v>OJK6_4</v>
      </c>
      <c r="H384" s="188"/>
      <c r="I384" s="172"/>
    </row>
    <row r="385" spans="1:9" s="1" customFormat="1" ht="84">
      <c r="A385" s="195" t="s">
        <v>317</v>
      </c>
      <c r="B385" s="196" t="str">
        <f>A385&amp;". When was the last time you "&amp;OJK!F6&amp;"?"</f>
        <v>OJK19.1. When was the last time you used a pawnshop for a loan with collateral?</v>
      </c>
      <c r="C385" s="205" t="s">
        <v>289</v>
      </c>
      <c r="D385" s="197" t="s">
        <v>31</v>
      </c>
      <c r="E385" s="197">
        <v>1</v>
      </c>
      <c r="F385" s="196" t="s">
        <v>255</v>
      </c>
      <c r="G385" s="197" t="str">
        <f>SUBSTITUTE(A385,".","_")</f>
        <v>OJK19_1</v>
      </c>
      <c r="H385" s="188"/>
      <c r="I385" s="164"/>
    </row>
    <row r="386" spans="1:9" s="1" customFormat="1" ht="84">
      <c r="A386" s="195" t="s">
        <v>318</v>
      </c>
      <c r="B386" s="196" t="str">
        <f>A386&amp;". When was the last time you "&amp;OJK!F7&amp;"?"</f>
        <v>OJK19.2. When was the last time you used a pawnshop for a loan with a fiduciary?</v>
      </c>
      <c r="C386" s="205" t="s">
        <v>289</v>
      </c>
      <c r="D386" s="197" t="s">
        <v>31</v>
      </c>
      <c r="E386" s="197">
        <v>1</v>
      </c>
      <c r="F386" s="196" t="s">
        <v>257</v>
      </c>
      <c r="G386" s="197" t="str">
        <f>SUBSTITUTE(A386,".","_")</f>
        <v>OJK19_2</v>
      </c>
      <c r="H386" s="188"/>
      <c r="I386" s="164"/>
    </row>
    <row r="387" spans="1:9" s="1" customFormat="1" ht="84">
      <c r="A387" s="195" t="s">
        <v>319</v>
      </c>
      <c r="B387" s="196" t="str">
        <f>A387&amp;". When was the last time you "&amp;OJK!F8&amp;"?"</f>
        <v>OJK19.3. When was the last time you used a pawnshop for a gold/precious metals investment?</v>
      </c>
      <c r="C387" s="205" t="s">
        <v>289</v>
      </c>
      <c r="D387" s="197" t="s">
        <v>31</v>
      </c>
      <c r="E387" s="197">
        <v>1</v>
      </c>
      <c r="F387" s="196" t="s">
        <v>259</v>
      </c>
      <c r="G387" s="197" t="str">
        <f>SUBSTITUTE(A387,".","_")</f>
        <v>OJK19_3</v>
      </c>
      <c r="H387" s="188"/>
      <c r="I387" s="164"/>
    </row>
    <row r="388" spans="1:9" customFormat="1" ht="28">
      <c r="A388" s="33" t="s">
        <v>261</v>
      </c>
      <c r="B388" s="23" t="str">
        <f>A388&amp;". Have you ever used any of the following products or services of a stocks/securities company? "&amp;OJK!G2</f>
        <v>OJK7.1. Have you ever used any of the following products or services of a stocks/securities company? Investment in shares</v>
      </c>
      <c r="C388" s="23" t="s">
        <v>125</v>
      </c>
      <c r="D388" s="22" t="s">
        <v>31</v>
      </c>
      <c r="E388" s="22">
        <v>1</v>
      </c>
      <c r="F388" s="23" t="s">
        <v>13</v>
      </c>
      <c r="G388" s="22" t="str">
        <f t="shared" si="48"/>
        <v>OJK7_1</v>
      </c>
      <c r="H388" s="188"/>
      <c r="I388" s="172"/>
    </row>
    <row r="389" spans="1:9" customFormat="1" ht="56">
      <c r="A389" s="34" t="str">
        <f>A388&amp;"A"</f>
        <v>OJK7.1A</v>
      </c>
      <c r="B389" s="23" t="str">
        <f>A389&amp;". Was that conventional or sharia, or have you used both conventional and sharia? "&amp;OJK!G2</f>
        <v>OJK7.1A. Was that conventional or sharia, or have you used both conventional and sharia? Investment in shares</v>
      </c>
      <c r="C389" s="23" t="s">
        <v>193</v>
      </c>
      <c r="D389" s="22" t="s">
        <v>31</v>
      </c>
      <c r="E389" s="22">
        <v>2</v>
      </c>
      <c r="F389" s="23" t="s">
        <v>262</v>
      </c>
      <c r="G389" s="22" t="str">
        <f t="shared" si="48"/>
        <v>OJK7_1A</v>
      </c>
      <c r="H389" s="188"/>
      <c r="I389" s="172"/>
    </row>
    <row r="390" spans="1:9" customFormat="1" ht="28">
      <c r="A390" s="33" t="s">
        <v>263</v>
      </c>
      <c r="B390" s="23" t="str">
        <f>A390&amp;". Have you ever used any of the following products or services of a stocks/securities company? "&amp;OJK!G3</f>
        <v>OJK7.2. Have you ever used any of the following products or services of a stocks/securities company? Bonds (e.g. Indonesian Retail Bonds (ORI))</v>
      </c>
      <c r="C390" s="23" t="s">
        <v>125</v>
      </c>
      <c r="D390" s="22" t="s">
        <v>31</v>
      </c>
      <c r="E390" s="22">
        <v>1</v>
      </c>
      <c r="F390" s="23" t="s">
        <v>13</v>
      </c>
      <c r="G390" s="22" t="str">
        <f t="shared" si="48"/>
        <v>OJK7_2</v>
      </c>
      <c r="H390" s="188"/>
      <c r="I390" s="172"/>
    </row>
    <row r="391" spans="1:9" customFormat="1" ht="28">
      <c r="A391" s="33" t="s">
        <v>264</v>
      </c>
      <c r="B391" s="23" t="str">
        <f>A391&amp;". Have you ever used any of the following products or services of a stocks/securities company? "&amp;OJK!G4</f>
        <v>OJK7.3. Have you ever used any of the following products or services of a stocks/securities company? Indonesian Retail Islamic Bonds (Sukri)</v>
      </c>
      <c r="C391" s="23" t="s">
        <v>125</v>
      </c>
      <c r="D391" s="22" t="s">
        <v>31</v>
      </c>
      <c r="E391" s="22">
        <v>1</v>
      </c>
      <c r="F391" s="23" t="s">
        <v>13</v>
      </c>
      <c r="G391" s="22" t="str">
        <f t="shared" si="48"/>
        <v>OJK7_3</v>
      </c>
      <c r="H391" s="188"/>
      <c r="I391" s="172"/>
    </row>
    <row r="392" spans="1:9" customFormat="1" ht="28">
      <c r="A392" s="33" t="s">
        <v>265</v>
      </c>
      <c r="B392" s="23" t="str">
        <f>A392&amp;". Have you ever used any of the following products or services of a stocks/securities company? "&amp;OJK!G5</f>
        <v>OJK7.4. Have you ever used any of the following products or services of a stocks/securities company? Another product or service that I didn't mention</v>
      </c>
      <c r="C392" s="23" t="s">
        <v>125</v>
      </c>
      <c r="D392" s="22" t="s">
        <v>31</v>
      </c>
      <c r="E392" s="22">
        <v>1</v>
      </c>
      <c r="F392" s="23" t="s">
        <v>13</v>
      </c>
      <c r="G392" s="22" t="str">
        <f t="shared" si="48"/>
        <v>OJK7_4</v>
      </c>
      <c r="H392" s="188"/>
      <c r="I392" s="172"/>
    </row>
    <row r="393" spans="1:9" s="1" customFormat="1" ht="84">
      <c r="A393" s="195" t="s">
        <v>320</v>
      </c>
      <c r="B393" s="196" t="str">
        <f>A393&amp;". When was the last time you "&amp;OJK!G6&amp;"?"</f>
        <v>OJK20.1. When was the last time you bought or sold shares or received a dividend from shares?</v>
      </c>
      <c r="C393" s="205" t="s">
        <v>289</v>
      </c>
      <c r="D393" s="197" t="s">
        <v>31</v>
      </c>
      <c r="E393" s="197">
        <v>1</v>
      </c>
      <c r="F393" s="196" t="s">
        <v>262</v>
      </c>
      <c r="G393" s="197" t="str">
        <f>SUBSTITUTE(A393,".","_")</f>
        <v>OJK20_1</v>
      </c>
      <c r="H393" s="188"/>
      <c r="I393" s="164"/>
    </row>
    <row r="394" spans="1:9" s="1" customFormat="1" ht="84">
      <c r="A394" s="195" t="s">
        <v>321</v>
      </c>
      <c r="B394" s="196" t="str">
        <f>A394&amp;". When was the last time you "&amp;OJK!G7&amp;"?"</f>
        <v>OJK20.2. When was the last time you bought or sold bonds/islamic bonds (e.g. Indonesian retail bonds (ORI)/Indonesian retail islamic bonds (sukri)?</v>
      </c>
      <c r="C394" s="205" t="s">
        <v>289</v>
      </c>
      <c r="D394" s="197" t="s">
        <v>31</v>
      </c>
      <c r="E394" s="197">
        <v>1</v>
      </c>
      <c r="F394" s="196" t="s">
        <v>322</v>
      </c>
      <c r="G394" s="197" t="str">
        <f>SUBSTITUTE(A394,".","_")</f>
        <v>OJK20_2</v>
      </c>
      <c r="H394" s="188"/>
      <c r="I394" s="164"/>
    </row>
    <row r="395" spans="1:9" customFormat="1" ht="28">
      <c r="A395" s="33" t="s">
        <v>266</v>
      </c>
      <c r="B395" s="23" t="str">
        <f>A395&amp;". Have you ever used any of the following products or services of an investment manager/asset management company? "&amp;OJK!H2</f>
        <v>OJK8.1. Have you ever used any of the following products or services of an investment manager/asset management company? Mutual Funds/Reksa Dana</v>
      </c>
      <c r="C395" s="23" t="s">
        <v>125</v>
      </c>
      <c r="D395" s="22" t="s">
        <v>31</v>
      </c>
      <c r="E395" s="22">
        <v>1</v>
      </c>
      <c r="F395" s="23" t="s">
        <v>13</v>
      </c>
      <c r="G395" s="22" t="str">
        <f t="shared" si="48"/>
        <v>OJK8_1</v>
      </c>
      <c r="H395" s="188"/>
      <c r="I395" s="172"/>
    </row>
    <row r="396" spans="1:9" customFormat="1" ht="56">
      <c r="A396" s="34" t="str">
        <f>A395&amp;"A"</f>
        <v>OJK8.1A</v>
      </c>
      <c r="B396" s="23" t="str">
        <f>A396&amp;". Was that conventional or sharia, or have you used both conventional and sharia? "&amp;OJK!H2</f>
        <v>OJK8.1A. Was that conventional or sharia, or have you used both conventional and sharia? Mutual Funds/Reksa Dana</v>
      </c>
      <c r="C396" s="23" t="s">
        <v>193</v>
      </c>
      <c r="D396" s="22" t="s">
        <v>31</v>
      </c>
      <c r="E396" s="22">
        <v>2</v>
      </c>
      <c r="F396" s="23" t="s">
        <v>267</v>
      </c>
      <c r="G396" s="22" t="str">
        <f t="shared" si="48"/>
        <v>OJK8_1A</v>
      </c>
      <c r="H396" s="188"/>
      <c r="I396" s="172"/>
    </row>
    <row r="397" spans="1:9" customFormat="1" ht="28">
      <c r="A397" s="33" t="s">
        <v>268</v>
      </c>
      <c r="B397" s="23" t="str">
        <f>A397&amp;". Have you ever used any of the following products or services of an investment manager/asset management company? "&amp;OJK!H3</f>
        <v>OJK8.2. Have you ever used any of the following products or services of an investment manager/asset management company? Another product or service that I didn't mention</v>
      </c>
      <c r="C397" s="23" t="s">
        <v>125</v>
      </c>
      <c r="D397" s="22" t="s">
        <v>31</v>
      </c>
      <c r="E397" s="22">
        <v>1</v>
      </c>
      <c r="F397" s="23" t="s">
        <v>13</v>
      </c>
      <c r="G397" s="22" t="str">
        <f t="shared" si="48"/>
        <v>OJK8_2</v>
      </c>
      <c r="H397" s="188"/>
      <c r="I397" s="172"/>
    </row>
    <row r="398" spans="1:9" s="1" customFormat="1" ht="84">
      <c r="A398" s="195" t="s">
        <v>323</v>
      </c>
      <c r="B398" s="196" t="str">
        <f>A398&amp;". When was the last time you "&amp;OJK!H4&amp;"?"</f>
        <v>OJK21.1. When was the last time you bought, sold or received a dividend from mutual funds from an investment manager/asset management company?</v>
      </c>
      <c r="C398" s="205" t="s">
        <v>289</v>
      </c>
      <c r="D398" s="197" t="s">
        <v>31</v>
      </c>
      <c r="E398" s="197">
        <v>1</v>
      </c>
      <c r="F398" s="196" t="s">
        <v>267</v>
      </c>
      <c r="G398" s="197" t="str">
        <f>SUBSTITUTE(A398,".","_")</f>
        <v>OJK21_1</v>
      </c>
      <c r="H398" s="188"/>
      <c r="I398" s="164"/>
    </row>
    <row r="399" spans="1:9" customFormat="1" ht="28">
      <c r="A399" s="33" t="s">
        <v>269</v>
      </c>
      <c r="B399" s="23" t="str">
        <f>A399&amp;". Have you ever used any of the following products or services of the Social Security Administrator Body (BPJS)? "&amp;OJK!I2</f>
        <v>OJK9.1. Have you ever used any of the following products or services of the Social Security Administrator Body (BPJS)? Health benefit</v>
      </c>
      <c r="C399" s="23" t="s">
        <v>125</v>
      </c>
      <c r="D399" s="22" t="s">
        <v>31</v>
      </c>
      <c r="E399" s="22">
        <v>1</v>
      </c>
      <c r="F399" s="23" t="s">
        <v>13</v>
      </c>
      <c r="G399" s="22" t="str">
        <f t="shared" si="48"/>
        <v>OJK9_1</v>
      </c>
      <c r="H399" s="188"/>
      <c r="I399" s="172"/>
    </row>
    <row r="400" spans="1:9" customFormat="1" ht="28">
      <c r="A400" s="33" t="s">
        <v>270</v>
      </c>
      <c r="B400" s="23" t="str">
        <f>A400&amp;". Have you ever used any of the following products or services of the Social Security Administrator Body (BPJS)? "&amp;OJK!I3</f>
        <v>OJK9.2. Have you ever used any of the following products or services of the Social Security Administrator Body (BPJS)? Employment benefit</v>
      </c>
      <c r="C400" s="23" t="s">
        <v>125</v>
      </c>
      <c r="D400" s="22" t="s">
        <v>31</v>
      </c>
      <c r="E400" s="22">
        <v>1</v>
      </c>
      <c r="F400" s="23" t="s">
        <v>13</v>
      </c>
      <c r="G400" s="22" t="str">
        <f t="shared" si="48"/>
        <v>OJK9_2</v>
      </c>
      <c r="H400" s="188"/>
      <c r="I400" s="172"/>
    </row>
    <row r="401" spans="1:9" s="1" customFormat="1" ht="84">
      <c r="A401" s="195" t="s">
        <v>324</v>
      </c>
      <c r="B401" s="196" t="str">
        <f>A401&amp;". When was the last time you "&amp;OJK!I4&amp;"?"</f>
        <v>OJK22.1. When was the last time you received payment from BPJS health?</v>
      </c>
      <c r="C401" s="205" t="s">
        <v>289</v>
      </c>
      <c r="D401" s="197" t="s">
        <v>31</v>
      </c>
      <c r="E401" s="197">
        <v>1</v>
      </c>
      <c r="F401" s="196" t="s">
        <v>325</v>
      </c>
      <c r="G401" s="197" t="str">
        <f>SUBSTITUTE(A401,".","_")</f>
        <v>OJK22_1</v>
      </c>
      <c r="H401" s="188"/>
      <c r="I401" s="164"/>
    </row>
    <row r="402" spans="1:9" s="1" customFormat="1" ht="84">
      <c r="A402" s="195" t="s">
        <v>326</v>
      </c>
      <c r="B402" s="196" t="str">
        <f>A402&amp;". When was the last time you "&amp;OJK!I5&amp;"?"</f>
        <v>OJK22.2. When was the last time you received payment from BPJS employment?</v>
      </c>
      <c r="C402" s="205" t="s">
        <v>289</v>
      </c>
      <c r="D402" s="197" t="s">
        <v>31</v>
      </c>
      <c r="E402" s="197">
        <v>1</v>
      </c>
      <c r="F402" s="196" t="s">
        <v>327</v>
      </c>
      <c r="G402" s="197" t="str">
        <f>SUBSTITUTE(A402,".","_")</f>
        <v>OJK22_2</v>
      </c>
      <c r="H402" s="188"/>
      <c r="I402" s="164"/>
    </row>
    <row r="403" spans="1:9" customFormat="1" ht="28">
      <c r="A403" s="33" t="s">
        <v>271</v>
      </c>
      <c r="B403" s="23" t="str">
        <f>A403&amp;". Have you ever used any of the following products or services of PT Pos Indonesia? "&amp;OJK!J2</f>
        <v>OJK10.1. Have you ever used any of the following products or services of PT Pos Indonesia? Tabungan atau giro</v>
      </c>
      <c r="C403" s="23" t="s">
        <v>125</v>
      </c>
      <c r="D403" s="22" t="s">
        <v>31</v>
      </c>
      <c r="E403" s="22">
        <v>1</v>
      </c>
      <c r="F403" s="23" t="s">
        <v>13</v>
      </c>
      <c r="G403" s="22" t="str">
        <f t="shared" si="48"/>
        <v>OJK10_1</v>
      </c>
      <c r="H403" s="188"/>
      <c r="I403" s="172"/>
    </row>
    <row r="404" spans="1:9" customFormat="1" ht="28">
      <c r="A404" s="33" t="s">
        <v>272</v>
      </c>
      <c r="B404" s="23" t="str">
        <f>A404&amp;". Have you ever used any of the following products or services of PT Pos Indonesia? "&amp;OJK!J3</f>
        <v>OJK10.2. Have you ever used any of the following products or services of PT Pos Indonesia? Pembayaran tagihan atau angsuran</v>
      </c>
      <c r="C404" s="23" t="s">
        <v>125</v>
      </c>
      <c r="D404" s="22" t="s">
        <v>31</v>
      </c>
      <c r="E404" s="22">
        <v>1</v>
      </c>
      <c r="F404" s="23" t="s">
        <v>13</v>
      </c>
      <c r="G404" s="22" t="str">
        <f t="shared" si="48"/>
        <v>OJK10_2</v>
      </c>
      <c r="H404" s="188"/>
      <c r="I404" s="172"/>
    </row>
    <row r="405" spans="1:9" customFormat="1" ht="28">
      <c r="A405" s="33" t="s">
        <v>273</v>
      </c>
      <c r="B405" s="23" t="str">
        <f>A405&amp;". Have you ever used any of the following products or services of PT Pos Indonesia? "&amp;OJK!J4</f>
        <v>OJK10.3. Have you ever used any of the following products or services of PT Pos Indonesia? Remitansi (pengiriman dan penerimaan uang) </v>
      </c>
      <c r="C405" s="23" t="s">
        <v>125</v>
      </c>
      <c r="D405" s="22" t="s">
        <v>31</v>
      </c>
      <c r="E405" s="22">
        <v>1</v>
      </c>
      <c r="F405" s="23" t="s">
        <v>13</v>
      </c>
      <c r="G405" s="22" t="str">
        <f t="shared" si="48"/>
        <v>OJK10_3</v>
      </c>
      <c r="H405" s="188"/>
      <c r="I405" s="172"/>
    </row>
    <row r="406" spans="1:9" customFormat="1" ht="28">
      <c r="A406" s="33" t="s">
        <v>274</v>
      </c>
      <c r="B406" s="23" t="str">
        <f>A406&amp;". Have you ever used any of the following products or services of PT Pos Indonesia? "&amp;OJK!J5</f>
        <v>OJK10.4. Have you ever used any of the following products or services of PT Pos Indonesia? Another product or service that I didn't mention</v>
      </c>
      <c r="C406" s="23" t="s">
        <v>125</v>
      </c>
      <c r="D406" s="22" t="s">
        <v>31</v>
      </c>
      <c r="E406" s="22">
        <v>1</v>
      </c>
      <c r="F406" s="23" t="s">
        <v>13</v>
      </c>
      <c r="G406" s="22" t="str">
        <f t="shared" si="48"/>
        <v>OJK10_4</v>
      </c>
      <c r="H406" s="188"/>
      <c r="I406" s="172"/>
    </row>
    <row r="407" spans="1:9" s="1" customFormat="1" ht="84">
      <c r="A407" s="195" t="s">
        <v>328</v>
      </c>
      <c r="B407" s="196" t="str">
        <f>A407&amp;". When was the last time you used the following products or services of PT Pos Indonesia? "&amp;OJK!J6</f>
        <v>OJK23.1. When was the last time you used the following products or services of PT Pos Indonesia? tabungan atau giro</v>
      </c>
      <c r="C407" s="205" t="s">
        <v>289</v>
      </c>
      <c r="D407" s="197" t="s">
        <v>31</v>
      </c>
      <c r="E407" s="197">
        <v>1</v>
      </c>
      <c r="F407" s="196" t="s">
        <v>329</v>
      </c>
      <c r="G407" s="197" t="str">
        <f>SUBSTITUTE(A407,".","_")</f>
        <v>OJK23_1</v>
      </c>
      <c r="H407" s="188"/>
      <c r="I407" s="164"/>
    </row>
    <row r="408" spans="1:9" s="1" customFormat="1" ht="84">
      <c r="A408" s="195" t="s">
        <v>330</v>
      </c>
      <c r="B408" s="196" t="str">
        <f>A408&amp;". When was the last time you used the following products or services of PT Pos Indonesia? "&amp;OJK!J7</f>
        <v>OJK23.2. When was the last time you used the following products or services of PT Pos Indonesia? pembayaran tagihan atau angsuran</v>
      </c>
      <c r="C408" s="205" t="s">
        <v>289</v>
      </c>
      <c r="D408" s="197" t="s">
        <v>31</v>
      </c>
      <c r="E408" s="197">
        <v>1</v>
      </c>
      <c r="F408" s="196" t="s">
        <v>331</v>
      </c>
      <c r="G408" s="197" t="str">
        <f>SUBSTITUTE(A408,".","_")</f>
        <v>OJK23_2</v>
      </c>
      <c r="H408" s="188"/>
      <c r="I408" s="164"/>
    </row>
    <row r="409" spans="1:9" s="1" customFormat="1" ht="84">
      <c r="A409" s="195" t="s">
        <v>332</v>
      </c>
      <c r="B409" s="196" t="str">
        <f>A409&amp;". When was the last time you used the following products or services of PT Pos Indonesia? "&amp;OJK!J8</f>
        <v>OJK23.3. When was the last time you used the following products or services of PT Pos Indonesia? remitansi (pengiriman dan penerimaan uang) </v>
      </c>
      <c r="C409" s="205" t="s">
        <v>289</v>
      </c>
      <c r="D409" s="197" t="s">
        <v>31</v>
      </c>
      <c r="E409" s="197">
        <v>1</v>
      </c>
      <c r="F409" s="196" t="s">
        <v>333</v>
      </c>
      <c r="G409" s="197" t="str">
        <f>SUBSTITUTE(A409,".","_")</f>
        <v>OJK23_3</v>
      </c>
      <c r="H409" s="188"/>
      <c r="I409" s="164"/>
    </row>
    <row r="410" spans="1:9" s="29" customFormat="1" ht="28">
      <c r="A410" s="33" t="s">
        <v>275</v>
      </c>
      <c r="B410" s="23" t="str">
        <f>A410&amp;". Have you ever used any of the following products or services from a cooperative? "&amp;OJK!L2</f>
        <v>OJK11.1. Have you ever used any of the following products or services from a cooperative? Savings/Deposits</v>
      </c>
      <c r="C410" s="23" t="s">
        <v>125</v>
      </c>
      <c r="D410" s="22" t="s">
        <v>31</v>
      </c>
      <c r="E410" s="22">
        <v>1</v>
      </c>
      <c r="F410" s="23" t="s">
        <v>13</v>
      </c>
      <c r="G410" s="22" t="str">
        <f t="shared" si="48"/>
        <v>OJK11_1</v>
      </c>
      <c r="H410" s="188"/>
      <c r="I410" s="172"/>
    </row>
    <row r="411" spans="1:9" s="203" customFormat="1" ht="56">
      <c r="A411" s="34" t="str">
        <f>A410&amp;"A"</f>
        <v>OJK11.1A</v>
      </c>
      <c r="B411" s="23" t="str">
        <f>A411&amp;". Was that conventional or sharia, or have you used both conventional and sharia? "&amp;OJK!L2</f>
        <v>OJK11.1A. Was that conventional or sharia, or have you used both conventional and sharia? Savings/Deposits</v>
      </c>
      <c r="C411" s="23" t="s">
        <v>193</v>
      </c>
      <c r="D411" s="22" t="s">
        <v>31</v>
      </c>
      <c r="E411" s="22">
        <v>2</v>
      </c>
      <c r="F411" s="23" t="s">
        <v>276</v>
      </c>
      <c r="G411" s="22" t="str">
        <f t="shared" si="48"/>
        <v>OJK11_1A</v>
      </c>
      <c r="H411" s="188"/>
      <c r="I411" s="202"/>
    </row>
    <row r="412" spans="1:9" s="29" customFormat="1" ht="28">
      <c r="A412" s="33" t="s">
        <v>277</v>
      </c>
      <c r="B412" s="23" t="str">
        <f>A412&amp;". Have you ever used any of the following products or services from a cooperative? "&amp;OJK!L3</f>
        <v>OJK11.2. Have you ever used any of the following products or services from a cooperative? Loan</v>
      </c>
      <c r="C412" s="23" t="s">
        <v>125</v>
      </c>
      <c r="D412" s="22" t="s">
        <v>31</v>
      </c>
      <c r="E412" s="22">
        <v>1</v>
      </c>
      <c r="F412" s="23" t="s">
        <v>13</v>
      </c>
      <c r="G412" s="22" t="str">
        <f t="shared" si="48"/>
        <v>OJK11_2</v>
      </c>
      <c r="H412" s="188"/>
      <c r="I412" s="172"/>
    </row>
    <row r="413" spans="1:9" s="29" customFormat="1" ht="56">
      <c r="A413" s="34" t="str">
        <f>A412&amp;"A"</f>
        <v>OJK11.2A</v>
      </c>
      <c r="B413" s="23" t="str">
        <f>A413&amp;". Was that conventional or sharia, or have you used both conventional and sharia? "&amp;OJK!L3</f>
        <v>OJK11.2A. Was that conventional or sharia, or have you used both conventional and sharia? Loan</v>
      </c>
      <c r="C413" s="23" t="s">
        <v>193</v>
      </c>
      <c r="D413" s="22" t="s">
        <v>31</v>
      </c>
      <c r="E413" s="22">
        <v>2</v>
      </c>
      <c r="F413" s="23" t="s">
        <v>278</v>
      </c>
      <c r="G413" s="22" t="str">
        <f t="shared" ref="G413:G422" si="52">SUBSTITUTE(A413,".","_")</f>
        <v>OJK11_2A</v>
      </c>
      <c r="H413" s="188"/>
      <c r="I413" s="172"/>
    </row>
    <row r="414" spans="1:9" s="29" customFormat="1" ht="28">
      <c r="A414" s="33" t="s">
        <v>279</v>
      </c>
      <c r="B414" s="23" t="str">
        <f>A414&amp;". Have you ever used any of the following products or services from a cooperative? "&amp;OJK!L4</f>
        <v>OJK11.3. Have you ever used any of the following products or services from a cooperative? Another product or service that I didn't mention</v>
      </c>
      <c r="C414" s="23" t="s">
        <v>125</v>
      </c>
      <c r="D414" s="22" t="s">
        <v>31</v>
      </c>
      <c r="E414" s="22">
        <v>1</v>
      </c>
      <c r="F414" s="23" t="s">
        <v>13</v>
      </c>
      <c r="G414" s="22" t="str">
        <f t="shared" si="52"/>
        <v>OJK11_3</v>
      </c>
      <c r="H414" s="188"/>
      <c r="I414" s="172"/>
    </row>
    <row r="415" spans="1:9" s="29" customFormat="1" ht="42">
      <c r="A415" s="200" t="s">
        <v>2849</v>
      </c>
      <c r="B415" s="23" t="str">
        <f>A415&amp;". Does the cooperative offer any of the following things: a debit/ATM card, credit card, electronic transfer to another account, or a website or mobile phone application?"</f>
        <v>COP1. Does the cooperative offer any of the following things: a debit/ATM card, credit card, electronic transfer to another account, or a website or mobile phone application?</v>
      </c>
      <c r="C415" s="23" t="s">
        <v>575</v>
      </c>
      <c r="D415" s="22" t="s">
        <v>31</v>
      </c>
      <c r="E415" s="22">
        <v>1</v>
      </c>
      <c r="F415" s="23" t="s">
        <v>2824</v>
      </c>
      <c r="G415" s="22" t="str">
        <f>SUBSTITUTE(A415,".","_")</f>
        <v>COP1</v>
      </c>
      <c r="H415" s="188"/>
      <c r="I415" s="172"/>
    </row>
    <row r="416" spans="1:9" s="29" customFormat="1" ht="42">
      <c r="A416" s="200" t="s">
        <v>2850</v>
      </c>
      <c r="B416" s="23" t="str">
        <f>A416&amp;". Does the cooperative offer savings/deposits, money transfers, insurance, or investments?"</f>
        <v>COP2. Does the cooperative offer savings/deposits, money transfers, insurance, or investments?</v>
      </c>
      <c r="C416" s="23" t="s">
        <v>575</v>
      </c>
      <c r="D416" s="22" t="s">
        <v>31</v>
      </c>
      <c r="E416" s="22">
        <v>1</v>
      </c>
      <c r="F416" s="23" t="s">
        <v>2825</v>
      </c>
      <c r="G416" s="22" t="str">
        <f t="shared" ref="G416" si="53">SUBSTITUTE(A416,".","_")</f>
        <v>COP2</v>
      </c>
      <c r="H416" s="188"/>
      <c r="I416" s="172"/>
    </row>
    <row r="417" spans="1:9" s="29" customFormat="1" ht="28">
      <c r="A417" s="233" t="s">
        <v>352</v>
      </c>
      <c r="B417" s="229" t="str">
        <f>A417&amp;". Do you currently have a savings account with a cooperative?"</f>
        <v>BI.E1D. Do you currently have a savings account with a cooperative?</v>
      </c>
      <c r="C417" s="229" t="s">
        <v>125</v>
      </c>
      <c r="D417" s="230" t="s">
        <v>31</v>
      </c>
      <c r="E417" s="230">
        <v>1</v>
      </c>
      <c r="F417" s="229" t="s">
        <v>346</v>
      </c>
      <c r="G417" s="230" t="str">
        <f t="shared" ref="G417" si="54">SUBSTITUTE(A417,".","_")</f>
        <v>BI_E1D</v>
      </c>
      <c r="H417" s="188"/>
      <c r="I417" s="172"/>
    </row>
    <row r="418" spans="1:9" s="1" customFormat="1" ht="84">
      <c r="A418" s="195" t="s">
        <v>336</v>
      </c>
      <c r="B418" s="196" t="str">
        <f>A418&amp;". When was the last time you "&amp;OJK!L5&amp;"?"</f>
        <v>OJK25.1. When was the last time you put money in savings/deposits using a cooperative?</v>
      </c>
      <c r="C418" s="205" t="s">
        <v>289</v>
      </c>
      <c r="D418" s="197" t="s">
        <v>31</v>
      </c>
      <c r="E418" s="197">
        <v>1</v>
      </c>
      <c r="F418" s="196" t="s">
        <v>276</v>
      </c>
      <c r="G418" s="197" t="str">
        <f>SUBSTITUTE(A418,".","_")</f>
        <v>OJK25_1</v>
      </c>
      <c r="H418" s="188"/>
      <c r="I418" s="164"/>
    </row>
    <row r="419" spans="1:9" s="1" customFormat="1" ht="84">
      <c r="A419" s="195" t="s">
        <v>337</v>
      </c>
      <c r="B419" s="196" t="str">
        <f>A419&amp;". When was the last time you "&amp;OJK!L6&amp;"?"</f>
        <v>OJK25.2. When was the last time you took a loan or made a payment on a loan at a cooperative?</v>
      </c>
      <c r="C419" s="205" t="s">
        <v>289</v>
      </c>
      <c r="D419" s="197" t="s">
        <v>31</v>
      </c>
      <c r="E419" s="197">
        <v>1</v>
      </c>
      <c r="F419" s="196" t="s">
        <v>278</v>
      </c>
      <c r="G419" s="197" t="str">
        <f>SUBSTITUTE(A419,".","_")</f>
        <v>OJK25_2</v>
      </c>
      <c r="H419" s="188"/>
      <c r="I419" s="164"/>
    </row>
    <row r="420" spans="1:9" s="29" customFormat="1" ht="28">
      <c r="A420" s="33" t="s">
        <v>280</v>
      </c>
      <c r="B420" s="23" t="str">
        <f>A420&amp;". Have you ever used any of the following products or services from a sharia microfinance (e.g. BMT, KJKS)? "&amp;OJK!M2</f>
        <v>OJK12.1. Have you ever used any of the following products or services from a sharia microfinance (e.g. BMT, KJKS)? Savings/Deposits</v>
      </c>
      <c r="C420" s="23" t="s">
        <v>125</v>
      </c>
      <c r="D420" s="22" t="s">
        <v>31</v>
      </c>
      <c r="E420" s="22">
        <v>1</v>
      </c>
      <c r="F420" s="23" t="s">
        <v>13</v>
      </c>
      <c r="G420" s="22" t="str">
        <f t="shared" si="52"/>
        <v>OJK12_1</v>
      </c>
      <c r="H420" s="188"/>
      <c r="I420" s="172"/>
    </row>
    <row r="421" spans="1:9" s="29" customFormat="1" ht="28">
      <c r="A421" s="33" t="s">
        <v>282</v>
      </c>
      <c r="B421" s="23" t="str">
        <f>A421&amp;". Have you ever used any of the following products or services from a sharia microfinance (e.g. BMT, KJKS)? "&amp;OJK!M3</f>
        <v>OJK12.2. Have you ever used any of the following products or services from a sharia microfinance (e.g. BMT, KJKS)? Loan/financing</v>
      </c>
      <c r="C421" s="23" t="s">
        <v>125</v>
      </c>
      <c r="D421" s="22" t="s">
        <v>31</v>
      </c>
      <c r="E421" s="22">
        <v>1</v>
      </c>
      <c r="F421" s="23" t="s">
        <v>13</v>
      </c>
      <c r="G421" s="22" t="str">
        <f t="shared" si="52"/>
        <v>OJK12_2</v>
      </c>
      <c r="H421" s="188"/>
      <c r="I421" s="172"/>
    </row>
    <row r="422" spans="1:9" s="29" customFormat="1" ht="28">
      <c r="A422" s="33" t="s">
        <v>284</v>
      </c>
      <c r="B422" s="23" t="str">
        <f>A422&amp;". Have you ever used any of the following products or services from a sharia microfinance (e.g. BMT, KJKS)? "&amp;OJK!M4</f>
        <v>OJK12.3. Have you ever used any of the following products or services from a sharia microfinance (e.g. BMT, KJKS)? Another product or service that I didn't mention</v>
      </c>
      <c r="C422" s="23" t="s">
        <v>125</v>
      </c>
      <c r="D422" s="22" t="s">
        <v>31</v>
      </c>
      <c r="E422" s="22">
        <v>1</v>
      </c>
      <c r="F422" s="23" t="s">
        <v>13</v>
      </c>
      <c r="G422" s="22" t="str">
        <f t="shared" si="52"/>
        <v>OJK12_3</v>
      </c>
      <c r="H422" s="188"/>
      <c r="I422" s="172"/>
    </row>
    <row r="423" spans="1:9" s="29" customFormat="1" ht="42">
      <c r="A423" s="200" t="s">
        <v>2851</v>
      </c>
      <c r="B423" s="23" t="str">
        <f>A423&amp;". Does the sharia microfinance (e.g. BMT, KJKS) offer any of the following things: a debit/ATM card, credit card, electronic transfer to another account, or a website or mobile phone application?"</f>
        <v>MFI1. Does the sharia microfinance (e.g. BMT, KJKS) offer any of the following things: a debit/ATM card, credit card, electronic transfer to another account, or a website or mobile phone application?</v>
      </c>
      <c r="C423" s="23" t="s">
        <v>575</v>
      </c>
      <c r="D423" s="22" t="s">
        <v>31</v>
      </c>
      <c r="E423" s="22">
        <v>1</v>
      </c>
      <c r="F423" s="23" t="s">
        <v>2820</v>
      </c>
      <c r="G423" s="22" t="str">
        <f t="shared" ref="G423" si="55">SUBSTITUTE(A423,".","_")</f>
        <v>MFI1</v>
      </c>
      <c r="H423" s="188"/>
      <c r="I423" s="172"/>
    </row>
    <row r="424" spans="1:9" s="1" customFormat="1" ht="84">
      <c r="A424" s="195" t="s">
        <v>338</v>
      </c>
      <c r="B424" s="196" t="str">
        <f>A424&amp;". When was the last time you "&amp;OJK!M5&amp;"?"</f>
        <v>OJK26.1. When was the last time you put money in savings/deposits at a sharia microfinance (e.g. BMT, KJKS)?</v>
      </c>
      <c r="C424" s="205" t="s">
        <v>289</v>
      </c>
      <c r="D424" s="197" t="s">
        <v>31</v>
      </c>
      <c r="E424" s="197">
        <v>1</v>
      </c>
      <c r="F424" s="196" t="s">
        <v>281</v>
      </c>
      <c r="G424" s="197" t="str">
        <f t="shared" ref="G424:G425" si="56">SUBSTITUTE(A424,".","_")</f>
        <v>OJK26_1</v>
      </c>
      <c r="H424" s="176"/>
      <c r="I424" s="164"/>
    </row>
    <row r="425" spans="1:9" s="1" customFormat="1" ht="84">
      <c r="A425" s="195" t="s">
        <v>340</v>
      </c>
      <c r="B425" s="196" t="str">
        <f>A425&amp;". When was the last time you "&amp;OJK!M6&amp;"?"</f>
        <v>OJK26.2. When was the last time you took a loan or made a payment on a loan at a sharia microfinance (e.g. BMT, KJKS)?</v>
      </c>
      <c r="C425" s="205" t="s">
        <v>289</v>
      </c>
      <c r="D425" s="197" t="s">
        <v>31</v>
      </c>
      <c r="E425" s="197">
        <v>1</v>
      </c>
      <c r="F425" s="196" t="s">
        <v>283</v>
      </c>
      <c r="G425" s="197" t="str">
        <f t="shared" si="56"/>
        <v>OJK26_2</v>
      </c>
      <c r="H425" s="176"/>
      <c r="I425" s="164"/>
    </row>
    <row r="426" spans="1:9" s="1" customFormat="1" ht="28">
      <c r="A426" s="197" t="s">
        <v>401</v>
      </c>
      <c r="B426" s="196" t="str">
        <f>A426&amp;". What is the reason you don’t have an account for "&amp;REF!$A$5 &amp;"? " &amp;REF!B2</f>
        <v>BI.E2D.A. What is the reason you don’t have an account for Savings with a Cooperative (BMT, Credit Union, KSP, LKM)? Religion</v>
      </c>
      <c r="C426" s="196" t="s">
        <v>95</v>
      </c>
      <c r="D426" s="197" t="s">
        <v>31</v>
      </c>
      <c r="E426" s="197">
        <v>1</v>
      </c>
      <c r="F426" s="7" t="s">
        <v>402</v>
      </c>
      <c r="G426" s="5" t="str">
        <f>SUBSTITUTE(A426,".","_")</f>
        <v>BI_E2D_A</v>
      </c>
      <c r="H426" s="176"/>
      <c r="I426" s="164"/>
    </row>
    <row r="427" spans="1:9" s="1" customFormat="1" ht="28">
      <c r="A427" s="197" t="s">
        <v>403</v>
      </c>
      <c r="B427" s="196" t="str">
        <f>A427&amp;". What is the reason you don’t have an account for "&amp;REF!$A$5 &amp;"? " &amp;REF!B3</f>
        <v>BI.E2D.B. What is the reason you don’t have an account for Savings with a Cooperative (BMT, Credit Union, KSP, LKM)? Don’t need one</v>
      </c>
      <c r="C427" s="196" t="s">
        <v>95</v>
      </c>
      <c r="D427" s="197" t="s">
        <v>31</v>
      </c>
      <c r="E427" s="197">
        <v>1</v>
      </c>
      <c r="F427" s="7" t="s">
        <v>402</v>
      </c>
      <c r="G427" s="5" t="str">
        <f t="shared" ref="G427:G439" si="57">SUBSTITUTE(A427,".","_")</f>
        <v>BI_E2D_B</v>
      </c>
      <c r="H427" s="176"/>
      <c r="I427" s="164"/>
    </row>
    <row r="428" spans="1:9" s="1" customFormat="1" ht="28">
      <c r="A428" s="197" t="s">
        <v>404</v>
      </c>
      <c r="B428" s="196" t="str">
        <f>A428&amp;". What is the reason you don’t have an account for "&amp;REF!$A$5 &amp;"? " &amp;REF!B4</f>
        <v>BI.E2D.C. What is the reason you don’t have an account for Savings with a Cooperative (BMT, Credit Union, KSP, LKM)? Don’t believe in product and service</v>
      </c>
      <c r="C428" s="196" t="s">
        <v>95</v>
      </c>
      <c r="D428" s="197" t="s">
        <v>31</v>
      </c>
      <c r="E428" s="197">
        <v>1</v>
      </c>
      <c r="F428" s="7" t="s">
        <v>402</v>
      </c>
      <c r="G428" s="5" t="str">
        <f t="shared" si="57"/>
        <v>BI_E2D_C</v>
      </c>
      <c r="H428" s="176"/>
      <c r="I428" s="164"/>
    </row>
    <row r="429" spans="1:9" s="1" customFormat="1" ht="28">
      <c r="A429" s="197" t="s">
        <v>405</v>
      </c>
      <c r="B429" s="196" t="str">
        <f>A429&amp;". What is the reason you don’t have an account for "&amp;REF!$A$5 &amp;"? " &amp;REF!B5</f>
        <v>BI.E2D.D. What is the reason you don’t have an account for Savings with a Cooperative (BMT, Credit Union, KSP, LKM)? The financial services office is too far away</v>
      </c>
      <c r="C429" s="196" t="s">
        <v>95</v>
      </c>
      <c r="D429" s="197" t="s">
        <v>31</v>
      </c>
      <c r="E429" s="197">
        <v>1</v>
      </c>
      <c r="F429" s="7" t="s">
        <v>402</v>
      </c>
      <c r="G429" s="5" t="str">
        <f t="shared" si="57"/>
        <v>BI_E2D_D</v>
      </c>
      <c r="H429" s="176"/>
      <c r="I429" s="164"/>
    </row>
    <row r="430" spans="1:9" s="1" customFormat="1" ht="28">
      <c r="A430" s="197" t="s">
        <v>406</v>
      </c>
      <c r="B430" s="196" t="str">
        <f>A430&amp;". What is the reason you don’t have an account for "&amp;REF!$A$5 &amp;"? " &amp;REF!B6</f>
        <v>BI.E2D.E. What is the reason you don’t have an account for Savings with a Cooperative (BMT, Credit Union, KSP, LKM)? The administration cost is too high</v>
      </c>
      <c r="C430" s="196" t="s">
        <v>95</v>
      </c>
      <c r="D430" s="197" t="s">
        <v>31</v>
      </c>
      <c r="E430" s="197">
        <v>1</v>
      </c>
      <c r="F430" s="7" t="s">
        <v>402</v>
      </c>
      <c r="G430" s="5" t="str">
        <f t="shared" si="57"/>
        <v>BI_E2D_E</v>
      </c>
      <c r="H430" s="176"/>
      <c r="I430" s="164"/>
    </row>
    <row r="431" spans="1:9" s="1" customFormat="1" ht="28">
      <c r="A431" s="197" t="s">
        <v>407</v>
      </c>
      <c r="B431" s="196" t="str">
        <f>A431&amp;". What is the reason you don’t have an account for "&amp;REF!$A$5 &amp;"? " &amp;REF!B7</f>
        <v>BI.E2D.F. What is the reason you don’t have an account for Savings with a Cooperative (BMT, Credit Union, KSP, LKM)? Don’t have enough money</v>
      </c>
      <c r="C431" s="196" t="s">
        <v>95</v>
      </c>
      <c r="D431" s="197" t="s">
        <v>31</v>
      </c>
      <c r="E431" s="197">
        <v>1</v>
      </c>
      <c r="F431" s="7" t="s">
        <v>402</v>
      </c>
      <c r="G431" s="5" t="str">
        <f t="shared" si="57"/>
        <v>BI_E2D_F</v>
      </c>
      <c r="H431" s="176"/>
      <c r="I431" s="164"/>
    </row>
    <row r="432" spans="1:9" s="1" customFormat="1" ht="28">
      <c r="A432" s="197" t="s">
        <v>408</v>
      </c>
      <c r="B432" s="196" t="str">
        <f>A432&amp;". What is the reason you don’t have an account for "&amp;REF!$A$5 &amp;"? " &amp;REF!B8</f>
        <v>BI.E2D.G. What is the reason you don’t have an account for Savings with a Cooperative (BMT, Credit Union, KSP, LKM)? Don’t have the required document</v>
      </c>
      <c r="C432" s="196" t="s">
        <v>95</v>
      </c>
      <c r="D432" s="197" t="s">
        <v>31</v>
      </c>
      <c r="E432" s="197">
        <v>1</v>
      </c>
      <c r="F432" s="7" t="s">
        <v>402</v>
      </c>
      <c r="G432" s="5" t="str">
        <f t="shared" si="57"/>
        <v>BI_E2D_G</v>
      </c>
      <c r="H432" s="176"/>
      <c r="I432" s="164"/>
    </row>
    <row r="433" spans="1:10" s="1" customFormat="1" ht="28">
      <c r="A433" s="197" t="s">
        <v>409</v>
      </c>
      <c r="B433" s="196" t="str">
        <f>A433&amp;". What is the reason you don’t have an account for "&amp;REF!$A$5 &amp;"? " &amp;REF!B9</f>
        <v>BI.E2D.H. What is the reason you don’t have an account for Savings with a Cooperative (BMT, Credit Union, KSP, LKM)? Bank officers don’t provide a good service</v>
      </c>
      <c r="C433" s="196" t="s">
        <v>95</v>
      </c>
      <c r="D433" s="197" t="s">
        <v>31</v>
      </c>
      <c r="E433" s="197">
        <v>1</v>
      </c>
      <c r="F433" s="7" t="s">
        <v>402</v>
      </c>
      <c r="G433" s="5" t="str">
        <f t="shared" si="57"/>
        <v>BI_E2D_H</v>
      </c>
      <c r="H433" s="176"/>
      <c r="I433" s="164"/>
    </row>
    <row r="434" spans="1:10" s="1" customFormat="1" ht="42">
      <c r="A434" s="197" t="s">
        <v>410</v>
      </c>
      <c r="B434" s="196" t="str">
        <f>A434&amp;". What is the reason you don’t have an account for "&amp;REF!$A$5 &amp;"? " &amp;REF!B10</f>
        <v>BI.E2D.I. What is the reason you don’t have an account for Savings with a Cooperative (BMT, Credit Union, KSP, LKM)? There are already household members who have financial product and service</v>
      </c>
      <c r="C434" s="196" t="s">
        <v>95</v>
      </c>
      <c r="D434" s="197" t="s">
        <v>31</v>
      </c>
      <c r="E434" s="197">
        <v>1</v>
      </c>
      <c r="F434" s="7" t="s">
        <v>402</v>
      </c>
      <c r="G434" s="5" t="str">
        <f t="shared" si="57"/>
        <v>BI_E2D_I</v>
      </c>
      <c r="H434" s="176"/>
      <c r="I434" s="164"/>
    </row>
    <row r="435" spans="1:10" s="1" customFormat="1" ht="28">
      <c r="A435" s="197" t="s">
        <v>411</v>
      </c>
      <c r="B435" s="196" t="str">
        <f>A435&amp;". What is the reason you don’t have an account for "&amp;REF!$A$5 &amp;"? " &amp;REF!B11</f>
        <v>BI.E2D.J. What is the reason you don’t have an account for Savings with a Cooperative (BMT, Credit Union, KSP, LKM)? Prefer to use cash</v>
      </c>
      <c r="C435" s="196" t="s">
        <v>95</v>
      </c>
      <c r="D435" s="197" t="s">
        <v>31</v>
      </c>
      <c r="E435" s="197">
        <v>1</v>
      </c>
      <c r="F435" s="7" t="s">
        <v>402</v>
      </c>
      <c r="G435" s="5" t="str">
        <f t="shared" si="57"/>
        <v>BI_E2D_J</v>
      </c>
      <c r="H435" s="176"/>
      <c r="I435" s="164"/>
    </row>
    <row r="436" spans="1:10" s="1" customFormat="1" ht="28">
      <c r="A436" s="197" t="s">
        <v>412</v>
      </c>
      <c r="B436" s="196" t="str">
        <f>A436&amp;". What is the reason you don’t have an account for "&amp;REF!$A$5 &amp;"? " &amp;REF!B12</f>
        <v>BI.E2D.K. What is the reason you don’t have an account for Savings with a Cooperative (BMT, Credit Union, KSP, LKM)? Don’t have enough information related to savings product</v>
      </c>
      <c r="C436" s="196" t="s">
        <v>95</v>
      </c>
      <c r="D436" s="197" t="s">
        <v>31</v>
      </c>
      <c r="E436" s="197">
        <v>1</v>
      </c>
      <c r="F436" s="7" t="s">
        <v>402</v>
      </c>
      <c r="G436" s="5" t="str">
        <f t="shared" si="57"/>
        <v>BI_E2D_K</v>
      </c>
      <c r="H436" s="176"/>
      <c r="I436" s="164"/>
    </row>
    <row r="437" spans="1:10" ht="28">
      <c r="A437" s="197" t="s">
        <v>413</v>
      </c>
      <c r="B437" s="196" t="str">
        <f>A437&amp;". What is the reason you don’t have an account for "&amp;REF!$A$5 &amp;"? " &amp;REF!B13</f>
        <v>BI.E2D.L. What is the reason you don’t have an account for Savings with a Cooperative (BMT, Credit Union, KSP, LKM)? I never knew about the product</v>
      </c>
      <c r="C437" s="196" t="s">
        <v>95</v>
      </c>
      <c r="D437" s="197" t="s">
        <v>31</v>
      </c>
      <c r="E437" s="197">
        <v>1</v>
      </c>
      <c r="F437" s="7" t="s">
        <v>402</v>
      </c>
      <c r="G437" s="5" t="str">
        <f t="shared" si="57"/>
        <v>BI_E2D_L</v>
      </c>
      <c r="H437" s="176"/>
      <c r="J437" s="1"/>
    </row>
    <row r="438" spans="1:10" ht="28">
      <c r="A438" s="197" t="s">
        <v>414</v>
      </c>
      <c r="B438" s="196" t="str">
        <f>A438&amp;". What is the reason you don’t have an account for "&amp;REF!$A$5 &amp;"? " &amp;REF!B14</f>
        <v>BI.E2D.V. What is the reason you don’t have an account for Savings with a Cooperative (BMT, Credit Union, KSP, LKM)? Other that I didn't mention</v>
      </c>
      <c r="C438" s="196" t="s">
        <v>95</v>
      </c>
      <c r="D438" s="197" t="s">
        <v>31</v>
      </c>
      <c r="E438" s="197">
        <v>1</v>
      </c>
      <c r="F438" s="7" t="s">
        <v>402</v>
      </c>
      <c r="G438" s="5" t="str">
        <f t="shared" si="57"/>
        <v>BI_E2D_V</v>
      </c>
      <c r="H438" s="176"/>
      <c r="J438" s="1"/>
    </row>
    <row r="439" spans="1:10" ht="28">
      <c r="A439" s="197" t="s">
        <v>415</v>
      </c>
      <c r="B439" s="196" t="str">
        <f>A439&amp;". Please specify the other reason why you don't have an account for "&amp;REF!$A$5</f>
        <v>BI.E2D.V.96. Please specify the other reason why you don't have an account for Savings with a Cooperative (BMT, Credit Union, KSP, LKM)</v>
      </c>
      <c r="C439" s="196" t="s">
        <v>11</v>
      </c>
      <c r="D439" s="197" t="s">
        <v>43</v>
      </c>
      <c r="E439" s="197">
        <v>50</v>
      </c>
      <c r="F439" s="6" t="s">
        <v>416</v>
      </c>
      <c r="G439" s="5" t="str">
        <f t="shared" si="57"/>
        <v>BI_E2D_V_96</v>
      </c>
      <c r="H439" s="176"/>
      <c r="J439" s="1"/>
    </row>
    <row r="440" spans="1:10" ht="27" customHeight="1">
      <c r="A440" s="238" t="s">
        <v>2893</v>
      </c>
      <c r="B440" s="239"/>
      <c r="C440" s="239"/>
      <c r="D440" s="239"/>
      <c r="E440" s="239"/>
      <c r="F440" s="239"/>
      <c r="G440" s="240"/>
      <c r="H440" s="169"/>
      <c r="I440" s="26"/>
    </row>
    <row r="441" spans="1:10">
      <c r="A441" s="3" t="s">
        <v>2</v>
      </c>
      <c r="B441" s="4" t="s">
        <v>3</v>
      </c>
      <c r="C441" s="4" t="s">
        <v>4</v>
      </c>
      <c r="D441" s="3" t="s">
        <v>5</v>
      </c>
      <c r="E441" s="4" t="s">
        <v>6</v>
      </c>
      <c r="F441" s="4" t="s">
        <v>7</v>
      </c>
      <c r="G441" s="3" t="s">
        <v>8</v>
      </c>
      <c r="H441" s="169"/>
      <c r="I441" s="26"/>
    </row>
    <row r="442" spans="1:10" ht="98">
      <c r="A442" s="5" t="s">
        <v>542</v>
      </c>
      <c r="B442" s="6" t="str">
        <f>A442&amp;". How involved or uninvolved are you typically in deciding how to spend your household’s income?"</f>
        <v>GN1. How involved or uninvolved are you typically in deciding how to spend your household’s income?</v>
      </c>
      <c r="C442" s="6" t="s">
        <v>543</v>
      </c>
      <c r="D442" s="5" t="s">
        <v>31</v>
      </c>
      <c r="E442" s="5">
        <v>2</v>
      </c>
      <c r="F442" s="1" t="s">
        <v>13</v>
      </c>
      <c r="G442" s="5" t="str">
        <f t="shared" ref="G442:G449" si="58">SUBSTITUTE(A442,".","_")</f>
        <v>GN1</v>
      </c>
      <c r="H442" s="169"/>
      <c r="I442" s="26"/>
    </row>
    <row r="443" spans="1:10" ht="98">
      <c r="A443" s="5" t="s">
        <v>544</v>
      </c>
      <c r="B443" s="6" t="str">
        <f>A443&amp;". How involved or uninvolved are you typically in deciding how your household’s income is spent on basic needs like food and clothing?"</f>
        <v>GN2. How involved or uninvolved are you typically in deciding how your household’s income is spent on basic needs like food and clothing?</v>
      </c>
      <c r="C443" s="6" t="s">
        <v>543</v>
      </c>
      <c r="D443" s="5" t="s">
        <v>31</v>
      </c>
      <c r="E443" s="5">
        <v>2</v>
      </c>
      <c r="F443" s="1" t="s">
        <v>13</v>
      </c>
      <c r="G443" s="5" t="str">
        <f t="shared" si="58"/>
        <v>GN2</v>
      </c>
      <c r="H443" s="169"/>
      <c r="I443" s="26"/>
    </row>
    <row r="444" spans="1:10" ht="98">
      <c r="A444" s="5" t="s">
        <v>545</v>
      </c>
      <c r="B444" s="6" t="str">
        <f>A444&amp;". How involved or uninvolved are you typically in deciding how your household’s income is spent on other things beyond basic needs?"</f>
        <v>GN3. How involved or uninvolved are you typically in deciding how your household’s income is spent on other things beyond basic needs?</v>
      </c>
      <c r="C444" s="6" t="s">
        <v>543</v>
      </c>
      <c r="D444" s="5" t="s">
        <v>31</v>
      </c>
      <c r="E444" s="5">
        <v>2</v>
      </c>
      <c r="F444" s="1" t="s">
        <v>13</v>
      </c>
      <c r="G444" s="5" t="str">
        <f t="shared" si="58"/>
        <v>GN3</v>
      </c>
      <c r="H444" s="169"/>
      <c r="I444" s="26"/>
    </row>
    <row r="445" spans="1:10" ht="98">
      <c r="A445" s="5" t="s">
        <v>546</v>
      </c>
      <c r="B445" s="6" t="str">
        <f>A445&amp;". If you were to speak your mind on a typical decision on how to spend your household’s income, how much influence would you have on the final decision?"</f>
        <v>GN4. If you were to speak your mind on a typical decision on how to spend your household’s income, how much influence would you have on the final decision?</v>
      </c>
      <c r="C445" s="6" t="s">
        <v>547</v>
      </c>
      <c r="D445" s="5" t="s">
        <v>31</v>
      </c>
      <c r="E445" s="5">
        <v>2</v>
      </c>
      <c r="F445" s="1" t="s">
        <v>13</v>
      </c>
      <c r="G445" s="5" t="str">
        <f t="shared" si="58"/>
        <v>GN4</v>
      </c>
      <c r="H445" s="169"/>
      <c r="I445" s="26"/>
    </row>
    <row r="446" spans="1:10" ht="98">
      <c r="A446" s="5" t="s">
        <v>548</v>
      </c>
      <c r="B446" s="6" t="str">
        <f>A446&amp;". If you happened to disagree with a typical decision about how your household’s income is spent, how likely would you be to voice disagreement?"</f>
        <v>GN5. If you happened to disagree with a typical decision about how your household’s income is spent, how likely would you be to voice disagreement?</v>
      </c>
      <c r="C446" s="6" t="s">
        <v>549</v>
      </c>
      <c r="D446" s="5" t="s">
        <v>31</v>
      </c>
      <c r="E446" s="5">
        <v>2</v>
      </c>
      <c r="F446" s="1" t="s">
        <v>13</v>
      </c>
      <c r="G446" s="5" t="str">
        <f t="shared" si="58"/>
        <v>GN5</v>
      </c>
      <c r="H446" s="169"/>
      <c r="I446" s="26"/>
    </row>
    <row r="447" spans="1:10" ht="98">
      <c r="A447" s="5" t="s">
        <v>550</v>
      </c>
      <c r="B447" s="59" t="str">
        <f>A447&amp;". Please tell me how much you agree or disagree with the following statements: You make the final decision on how household income is spent."</f>
        <v>GN6. Please tell me how much you agree or disagree with the following statements: You make the final decision on how household income is spent.</v>
      </c>
      <c r="C447" s="59" t="s">
        <v>177</v>
      </c>
      <c r="D447" s="5" t="s">
        <v>31</v>
      </c>
      <c r="E447" s="5">
        <v>2</v>
      </c>
      <c r="F447" s="1" t="s">
        <v>13</v>
      </c>
      <c r="G447" s="5" t="str">
        <f t="shared" si="58"/>
        <v>GN6</v>
      </c>
      <c r="H447" s="169"/>
      <c r="I447" s="26"/>
    </row>
    <row r="448" spans="1:10" ht="98">
      <c r="A448" s="5" t="s">
        <v>551</v>
      </c>
      <c r="B448" s="6" t="str">
        <f>A448&amp;". Please tell me how much you agree or disagree with the following statements: You make the final decision on how your money is spent or saved."</f>
        <v>GN7. Please tell me how much you agree or disagree with the following statements: You make the final decision on how your money is spent or saved.</v>
      </c>
      <c r="C448" s="6" t="s">
        <v>177</v>
      </c>
      <c r="D448" s="5" t="s">
        <v>31</v>
      </c>
      <c r="E448" s="5">
        <v>2</v>
      </c>
      <c r="F448" s="1" t="s">
        <v>13</v>
      </c>
      <c r="G448" s="5" t="str">
        <f t="shared" si="58"/>
        <v>GN7</v>
      </c>
      <c r="H448" s="169"/>
      <c r="I448" s="26"/>
    </row>
    <row r="449" spans="1:8" ht="98">
      <c r="A449" s="5" t="s">
        <v>552</v>
      </c>
      <c r="B449" s="6" t="str">
        <f>A449&amp;". Please tell me how much you agree or disagree with the following statements: You trust financial service providers to keep your personal information private unless you allow it to be shared."</f>
        <v>GN8. Please tell me how much you agree or disagree with the following statements: You trust financial service providers to keep your personal information private unless you allow it to be shared.</v>
      </c>
      <c r="C449" s="6" t="s">
        <v>177</v>
      </c>
      <c r="D449" s="5" t="s">
        <v>31</v>
      </c>
      <c r="E449" s="5">
        <v>2</v>
      </c>
      <c r="F449" s="1" t="s">
        <v>13</v>
      </c>
      <c r="G449" s="5" t="str">
        <f t="shared" si="58"/>
        <v>GN8</v>
      </c>
      <c r="H449" s="169"/>
    </row>
    <row r="450" spans="1:8">
      <c r="A450" s="235" t="s">
        <v>2894</v>
      </c>
      <c r="B450" s="236"/>
      <c r="C450" s="236"/>
      <c r="D450" s="236"/>
      <c r="E450" s="236"/>
      <c r="F450" s="236"/>
      <c r="G450" s="237"/>
      <c r="H450" s="169"/>
    </row>
    <row r="451" spans="1:8">
      <c r="A451" s="3" t="s">
        <v>2</v>
      </c>
      <c r="B451" s="4" t="s">
        <v>3</v>
      </c>
      <c r="C451" s="4" t="s">
        <v>4</v>
      </c>
      <c r="D451" s="3" t="s">
        <v>5</v>
      </c>
      <c r="E451" s="4" t="s">
        <v>6</v>
      </c>
      <c r="F451" s="4" t="s">
        <v>7</v>
      </c>
      <c r="G451" s="3" t="s">
        <v>8</v>
      </c>
      <c r="H451" s="169"/>
    </row>
    <row r="452" spans="1:8" ht="28">
      <c r="A452" s="5" t="s">
        <v>553</v>
      </c>
      <c r="B452" s="6" t="str">
        <f>A452&amp;". Do you have an active/working SIM card with the following providers? " &amp;'brand name'!A2</f>
        <v>MT12.1. Do you have an active/working SIM card with the following providers? Telkomsel (Simpati, Halo, Kartu As)</v>
      </c>
      <c r="C452" s="6" t="s">
        <v>125</v>
      </c>
      <c r="D452" s="5" t="s">
        <v>31</v>
      </c>
      <c r="E452" s="5">
        <v>1</v>
      </c>
      <c r="F452" s="7" t="s">
        <v>13</v>
      </c>
      <c r="G452" s="5" t="str">
        <f t="shared" ref="G452:G459" si="59">SUBSTITUTE(A452,".","_")</f>
        <v>MT12_1</v>
      </c>
      <c r="H452" s="169"/>
    </row>
    <row r="453" spans="1:8" ht="28">
      <c r="A453" s="5" t="s">
        <v>554</v>
      </c>
      <c r="B453" s="6" t="str">
        <f>A453&amp;". Do you have an active/working SIM card with the following providers? " &amp;'brand name'!A3</f>
        <v>MT12.2. Do you have an active/working SIM card with the following providers? Indosat (IM3, Mentari, Matrix)</v>
      </c>
      <c r="C453" s="6" t="s">
        <v>125</v>
      </c>
      <c r="D453" s="5" t="s">
        <v>31</v>
      </c>
      <c r="E453" s="5">
        <v>1</v>
      </c>
      <c r="F453" s="7" t="s">
        <v>13</v>
      </c>
      <c r="G453" s="5" t="str">
        <f t="shared" si="59"/>
        <v>MT12_2</v>
      </c>
      <c r="H453" s="169"/>
    </row>
    <row r="454" spans="1:8" ht="28">
      <c r="A454" s="5" t="s">
        <v>555</v>
      </c>
      <c r="B454" s="6" t="str">
        <f>A454&amp;". Do you have an active/working SIM card with the following providers? " &amp;'brand name'!A4</f>
        <v>MT12.3. Do you have an active/working SIM card with the following providers? XL</v>
      </c>
      <c r="C454" s="6" t="s">
        <v>125</v>
      </c>
      <c r="D454" s="5" t="s">
        <v>31</v>
      </c>
      <c r="E454" s="5">
        <v>1</v>
      </c>
      <c r="F454" s="7" t="s">
        <v>13</v>
      </c>
      <c r="G454" s="5" t="str">
        <f t="shared" si="59"/>
        <v>MT12_3</v>
      </c>
      <c r="H454" s="169"/>
    </row>
    <row r="455" spans="1:8" ht="28">
      <c r="A455" s="5" t="s">
        <v>556</v>
      </c>
      <c r="B455" s="6" t="str">
        <f>A455&amp;". Do you have an active/working SIM card with the following providers? " &amp;'brand name'!A5</f>
        <v>MT12.4. Do you have an active/working SIM card with the following providers? 3</v>
      </c>
      <c r="C455" s="6" t="s">
        <v>125</v>
      </c>
      <c r="D455" s="5" t="s">
        <v>31</v>
      </c>
      <c r="E455" s="5">
        <v>1</v>
      </c>
      <c r="F455" s="7" t="s">
        <v>13</v>
      </c>
      <c r="G455" s="5" t="str">
        <f t="shared" si="59"/>
        <v>MT12_4</v>
      </c>
      <c r="H455" s="169"/>
    </row>
    <row r="456" spans="1:8" ht="28">
      <c r="A456" s="5" t="s">
        <v>557</v>
      </c>
      <c r="B456" s="6" t="str">
        <f>A456&amp;". Do you have an active/working SIM card with the following providers? " &amp;'brand name'!A6</f>
        <v>MT12.5. Do you have an active/working SIM card with the following providers? AXIS</v>
      </c>
      <c r="C456" s="6" t="s">
        <v>125</v>
      </c>
      <c r="D456" s="5" t="s">
        <v>31</v>
      </c>
      <c r="E456" s="5">
        <v>1</v>
      </c>
      <c r="F456" s="7" t="s">
        <v>13</v>
      </c>
      <c r="G456" s="5" t="str">
        <f t="shared" si="59"/>
        <v>MT12_5</v>
      </c>
      <c r="H456" s="169"/>
    </row>
    <row r="457" spans="1:8" ht="28">
      <c r="A457" s="5" t="s">
        <v>558</v>
      </c>
      <c r="B457" s="6" t="str">
        <f>A457&amp;". Do you have an active/working SIM card with the following providers? " &amp;'brand name'!A8</f>
        <v>MT12.7. Do you have an active/working SIM card with the following providers? SmartFren</v>
      </c>
      <c r="C457" s="6" t="s">
        <v>125</v>
      </c>
      <c r="D457" s="5" t="s">
        <v>31</v>
      </c>
      <c r="E457" s="5">
        <v>1</v>
      </c>
      <c r="F457" s="7" t="s">
        <v>13</v>
      </c>
      <c r="G457" s="5" t="str">
        <f t="shared" si="59"/>
        <v>MT12_7</v>
      </c>
      <c r="H457" s="169"/>
    </row>
    <row r="458" spans="1:8" ht="28">
      <c r="A458" s="5" t="s">
        <v>559</v>
      </c>
      <c r="B458" s="6" t="str">
        <f>A458&amp;". Do you have an active/working SIM card with the following providers? " &amp;'brand name'!A9</f>
        <v>MT12.8. Do you have an active/working SIM card with the following providers? Another provider not on my list</v>
      </c>
      <c r="C458" s="6" t="s">
        <v>125</v>
      </c>
      <c r="D458" s="5" t="s">
        <v>31</v>
      </c>
      <c r="E458" s="5">
        <v>1</v>
      </c>
      <c r="F458" s="7" t="s">
        <v>13</v>
      </c>
      <c r="G458" s="5" t="str">
        <f t="shared" si="59"/>
        <v>MT12_8</v>
      </c>
      <c r="H458" s="169"/>
    </row>
    <row r="459" spans="1:8" ht="42">
      <c r="A459" s="5" t="s">
        <v>560</v>
      </c>
      <c r="B459" s="6" t="str">
        <f>A459&amp;". Do you use a SIM card that belongs to somebody else?"</f>
        <v>MT15. Do you use a SIM card that belongs to somebody else?</v>
      </c>
      <c r="C459" s="6" t="s">
        <v>561</v>
      </c>
      <c r="D459" s="5" t="s">
        <v>31</v>
      </c>
      <c r="E459" s="5">
        <v>2</v>
      </c>
      <c r="F459" s="7" t="s">
        <v>13</v>
      </c>
      <c r="G459" s="5" t="str">
        <f t="shared" si="59"/>
        <v>MT15</v>
      </c>
      <c r="H459" s="169"/>
    </row>
    <row r="460" spans="1:8">
      <c r="A460" s="257" t="s">
        <v>2895</v>
      </c>
      <c r="B460" s="258"/>
      <c r="C460" s="258"/>
      <c r="D460" s="258"/>
      <c r="E460" s="258"/>
      <c r="F460" s="258"/>
      <c r="G460" s="259"/>
      <c r="H460" s="169"/>
    </row>
    <row r="461" spans="1:8">
      <c r="A461" s="3" t="s">
        <v>2</v>
      </c>
      <c r="B461" s="4" t="s">
        <v>3</v>
      </c>
      <c r="C461" s="4" t="s">
        <v>4</v>
      </c>
      <c r="D461" s="3" t="s">
        <v>5</v>
      </c>
      <c r="E461" s="4" t="s">
        <v>6</v>
      </c>
      <c r="F461" s="4" t="s">
        <v>7</v>
      </c>
      <c r="G461" s="3" t="s">
        <v>8</v>
      </c>
      <c r="H461" s="169"/>
    </row>
    <row r="462" spans="1:8" ht="98">
      <c r="A462" s="76" t="s">
        <v>562</v>
      </c>
      <c r="B462" s="155" t="str">
        <f>A462&amp;". When was the last time you used a mobile phone to do the following? "&amp;Other!H2</f>
        <v>MT17.1. When was the last time you used a mobile phone to do the following? Call someone or receive a call</v>
      </c>
      <c r="C462" s="155" t="s">
        <v>563</v>
      </c>
      <c r="D462" s="76" t="s">
        <v>31</v>
      </c>
      <c r="E462" s="76">
        <v>1</v>
      </c>
      <c r="F462" s="156" t="s">
        <v>13</v>
      </c>
      <c r="G462" s="76" t="str">
        <f t="shared" ref="G462:G472" si="60">SUBSTITUTE(A462,".","_")</f>
        <v>MT17_1</v>
      </c>
      <c r="H462" s="169"/>
    </row>
    <row r="463" spans="1:8" ht="98">
      <c r="A463" s="76" t="s">
        <v>564</v>
      </c>
      <c r="B463" s="155" t="str">
        <f>A463&amp;". When was the last time you used a mobile phone to do the following? "&amp;Other!H3</f>
        <v xml:space="preserve">MT17.2. When was the last time you used a mobile phone to do the following? Send or receive a text message </v>
      </c>
      <c r="C463" s="155" t="s">
        <v>563</v>
      </c>
      <c r="D463" s="76" t="s">
        <v>31</v>
      </c>
      <c r="E463" s="76">
        <v>1</v>
      </c>
      <c r="F463" s="156" t="s">
        <v>13</v>
      </c>
      <c r="G463" s="76" t="str">
        <f t="shared" si="60"/>
        <v>MT17_2</v>
      </c>
      <c r="H463" s="169"/>
    </row>
    <row r="464" spans="1:8" ht="98">
      <c r="A464" s="76" t="s">
        <v>565</v>
      </c>
      <c r="B464" s="155" t="str">
        <f>A464&amp;". When was the last time you used a mobile phone to do the following? "&amp;Other!H4</f>
        <v>MT17.3. When was the last time you used a mobile phone to do the following? Search the internet</v>
      </c>
      <c r="C464" s="155" t="s">
        <v>563</v>
      </c>
      <c r="D464" s="76" t="s">
        <v>31</v>
      </c>
      <c r="E464" s="76">
        <v>1</v>
      </c>
      <c r="F464" s="156" t="s">
        <v>13</v>
      </c>
      <c r="G464" s="76" t="str">
        <f t="shared" si="60"/>
        <v>MT17_3</v>
      </c>
      <c r="H464" s="169"/>
    </row>
    <row r="465" spans="1:10" ht="98">
      <c r="A465" s="76" t="s">
        <v>566</v>
      </c>
      <c r="B465" s="155" t="str">
        <f>A465&amp;". When was the last time you used a mobile phone to do the following? "&amp;Other!H6</f>
        <v>MT17.4. When was the last time you used a mobile phone to do the following? Use Facebook, WhatsApp, Twitter, Instagram or another social networking application</v>
      </c>
      <c r="C465" s="155" t="s">
        <v>563</v>
      </c>
      <c r="D465" s="76" t="s">
        <v>31</v>
      </c>
      <c r="E465" s="76">
        <v>1</v>
      </c>
      <c r="F465" s="156" t="s">
        <v>13</v>
      </c>
      <c r="G465" s="76" t="str">
        <f t="shared" si="60"/>
        <v>MT17_4</v>
      </c>
      <c r="H465" s="169"/>
    </row>
    <row r="466" spans="1:10" ht="98">
      <c r="A466" s="76" t="s">
        <v>567</v>
      </c>
      <c r="B466" s="155" t="str">
        <f>A466&amp;". When was the last time you used a mobile phone to do the following? "&amp;Other!H8</f>
        <v>MT17.5. When was the last time you used a mobile phone to do the following? Download an application</v>
      </c>
      <c r="C466" s="155" t="s">
        <v>563</v>
      </c>
      <c r="D466" s="76" t="s">
        <v>31</v>
      </c>
      <c r="E466" s="76">
        <v>1</v>
      </c>
      <c r="F466" s="156" t="s">
        <v>13</v>
      </c>
      <c r="G466" s="76" t="str">
        <f t="shared" si="60"/>
        <v>MT17_5</v>
      </c>
      <c r="H466" s="169"/>
    </row>
    <row r="467" spans="1:10" ht="70">
      <c r="A467" s="76" t="s">
        <v>568</v>
      </c>
      <c r="B467" s="155" t="str">
        <f>A467&amp;". How much ability you have to perform the activity with mobile phones?  "&amp;Other!I2</f>
        <v>MT18A.1. How much ability you have to perform the activity with mobile phones?  Make and receive calls</v>
      </c>
      <c r="C467" s="155" t="s">
        <v>569</v>
      </c>
      <c r="D467" s="76" t="s">
        <v>31</v>
      </c>
      <c r="E467" s="76">
        <v>2</v>
      </c>
      <c r="F467" s="156" t="s">
        <v>13</v>
      </c>
      <c r="G467" s="76" t="str">
        <f t="shared" si="60"/>
        <v>MT18A_1</v>
      </c>
      <c r="H467" s="169"/>
    </row>
    <row r="468" spans="1:10" ht="70">
      <c r="A468" s="76" t="s">
        <v>570</v>
      </c>
      <c r="B468" s="155" t="str">
        <f>A468&amp;". How much ability you have to perform the activity with mobile phones?  "&amp;Other!I3</f>
        <v xml:space="preserve">MT18A.2. How much ability you have to perform the activity with mobile phones?  Navigate the menu on the phone </v>
      </c>
      <c r="C468" s="155" t="s">
        <v>569</v>
      </c>
      <c r="D468" s="76" t="s">
        <v>31</v>
      </c>
      <c r="E468" s="76">
        <v>2</v>
      </c>
      <c r="F468" s="156" t="s">
        <v>13</v>
      </c>
      <c r="G468" s="76" t="str">
        <f t="shared" si="60"/>
        <v>MT18A_2</v>
      </c>
    </row>
    <row r="469" spans="1:10" ht="70">
      <c r="A469" s="76" t="s">
        <v>571</v>
      </c>
      <c r="B469" s="155" t="str">
        <f>A469&amp;". How much ability you have to perform the activity with mobile phones?  "&amp;Other!I4</f>
        <v>MT18A.3. How much ability you have to perform the activity with mobile phones?  Send and receive text messages</v>
      </c>
      <c r="C469" s="155" t="s">
        <v>569</v>
      </c>
      <c r="D469" s="76" t="s">
        <v>31</v>
      </c>
      <c r="E469" s="76">
        <v>2</v>
      </c>
      <c r="F469" s="156" t="s">
        <v>13</v>
      </c>
      <c r="G469" s="76" t="str">
        <f t="shared" si="60"/>
        <v>MT18A_3</v>
      </c>
    </row>
    <row r="470" spans="1:10" ht="70">
      <c r="A470" s="76" t="s">
        <v>572</v>
      </c>
      <c r="B470" s="155" t="str">
        <f>A470&amp;". How much ability you have to perform the activity with mobile phones?  "&amp;Other!I5</f>
        <v>MT18A.4. How much ability you have to perform the activity with mobile phones?  Search the internet</v>
      </c>
      <c r="C470" s="155" t="s">
        <v>569</v>
      </c>
      <c r="D470" s="76" t="s">
        <v>31</v>
      </c>
      <c r="E470" s="76">
        <v>2</v>
      </c>
      <c r="F470" s="156" t="s">
        <v>13</v>
      </c>
      <c r="G470" s="76" t="str">
        <f t="shared" si="60"/>
        <v>MT18A_4</v>
      </c>
    </row>
    <row r="471" spans="1:10" ht="70">
      <c r="A471" s="76" t="s">
        <v>573</v>
      </c>
      <c r="B471" s="155" t="str">
        <f>A471&amp;". How much ability you have to perform the activity with mobile phones?  "&amp;Other!I6</f>
        <v>MT18A.5. How much ability you have to perform the activity with mobile phones?  Make a financial transaction such as send or receive money, or make a payment, or a bank transaction</v>
      </c>
      <c r="C471" s="155" t="s">
        <v>569</v>
      </c>
      <c r="D471" s="76" t="s">
        <v>31</v>
      </c>
      <c r="E471" s="76">
        <v>2</v>
      </c>
      <c r="F471" s="156" t="s">
        <v>13</v>
      </c>
      <c r="G471" s="76" t="str">
        <f t="shared" si="60"/>
        <v>MT18A_5</v>
      </c>
    </row>
    <row r="472" spans="1:10" ht="70">
      <c r="A472" s="157" t="s">
        <v>574</v>
      </c>
      <c r="B472" s="158" t="str">
        <f>A472&amp;". How much ability do you have to perform the following activity with a mobile phone?  "&amp;Other!I7</f>
        <v>MT18A.6. How much ability do you have to perform the following activity with a mobile phone?  Download an application</v>
      </c>
      <c r="C472" s="158" t="s">
        <v>569</v>
      </c>
      <c r="D472" s="157" t="s">
        <v>31</v>
      </c>
      <c r="E472" s="157">
        <v>2</v>
      </c>
      <c r="F472" s="156" t="s">
        <v>13</v>
      </c>
      <c r="G472" s="157" t="str">
        <f t="shared" si="60"/>
        <v>MT18A_6</v>
      </c>
    </row>
    <row r="473" spans="1:10">
      <c r="A473" s="235" t="s">
        <v>2896</v>
      </c>
      <c r="B473" s="236"/>
      <c r="C473" s="236"/>
      <c r="D473" s="236"/>
      <c r="E473" s="236"/>
      <c r="F473" s="236"/>
      <c r="G473" s="237"/>
    </row>
    <row r="474" spans="1:10">
      <c r="A474" s="3" t="s">
        <v>2</v>
      </c>
      <c r="B474" s="4" t="s">
        <v>3</v>
      </c>
      <c r="C474" s="4" t="s">
        <v>4</v>
      </c>
      <c r="D474" s="3" t="s">
        <v>5</v>
      </c>
      <c r="E474" s="4" t="s">
        <v>6</v>
      </c>
      <c r="F474" s="4" t="s">
        <v>7</v>
      </c>
      <c r="G474" s="3" t="s">
        <v>8</v>
      </c>
      <c r="J474" s="1"/>
    </row>
    <row r="475" spans="1:10" ht="70">
      <c r="A475" s="76" t="s">
        <v>2872</v>
      </c>
      <c r="B475" s="155" t="str">
        <f>A475&amp;". How close are the following to where you live? "&amp;Other!N2</f>
        <v>BI.E43.1. How close are the following to where you live? Bank branch</v>
      </c>
      <c r="C475" s="155" t="s">
        <v>576</v>
      </c>
      <c r="D475" s="76" t="s">
        <v>31</v>
      </c>
      <c r="E475" s="76">
        <v>2</v>
      </c>
      <c r="F475" s="159" t="s">
        <v>13</v>
      </c>
      <c r="G475" s="76" t="str">
        <f t="shared" ref="G475:G510" si="61">SUBSTITUTE(A475,".","_")</f>
        <v>BI_E43_1</v>
      </c>
    </row>
    <row r="476" spans="1:10" ht="70">
      <c r="A476" s="76" t="s">
        <v>2873</v>
      </c>
      <c r="B476" s="155" t="str">
        <f>A476&amp;". How close are the following to where you live? "&amp;Other!N3</f>
        <v>BI.E43.2. How close are the following to where you live? ATM</v>
      </c>
      <c r="C476" s="155" t="s">
        <v>576</v>
      </c>
      <c r="D476" s="76" t="s">
        <v>31</v>
      </c>
      <c r="E476" s="76">
        <v>2</v>
      </c>
      <c r="F476" s="159" t="s">
        <v>13</v>
      </c>
      <c r="G476" s="76" t="str">
        <f t="shared" si="61"/>
        <v>BI_E43_2</v>
      </c>
    </row>
    <row r="477" spans="1:10" ht="70">
      <c r="A477" s="76" t="s">
        <v>2874</v>
      </c>
      <c r="B477" s="155" t="str">
        <f>A477&amp;". How close are the following to where you live? "&amp;Other!N4</f>
        <v>BI.E43.3. How close are the following to where you live? Pos Indonesia</v>
      </c>
      <c r="C477" s="155" t="s">
        <v>576</v>
      </c>
      <c r="D477" s="76" t="s">
        <v>31</v>
      </c>
      <c r="E477" s="76">
        <v>2</v>
      </c>
      <c r="F477" s="159" t="s">
        <v>13</v>
      </c>
      <c r="G477" s="76" t="str">
        <f t="shared" si="61"/>
        <v>BI_E43_3</v>
      </c>
    </row>
    <row r="478" spans="1:10" ht="70">
      <c r="A478" s="76" t="s">
        <v>2875</v>
      </c>
      <c r="B478" s="155" t="str">
        <f>A478&amp;". How close are the following to where you live?  Agen Bank"</f>
        <v>BI.E43.4. How close are the following to where you live?  Agen Bank</v>
      </c>
      <c r="C478" s="155" t="s">
        <v>576</v>
      </c>
      <c r="D478" s="76" t="s">
        <v>31</v>
      </c>
      <c r="E478" s="76">
        <v>2</v>
      </c>
      <c r="F478" s="159" t="s">
        <v>13</v>
      </c>
      <c r="G478" s="76" t="str">
        <f t="shared" si="61"/>
        <v>BI_E43_4</v>
      </c>
    </row>
    <row r="479" spans="1:10" ht="70">
      <c r="A479" s="76" t="s">
        <v>2876</v>
      </c>
      <c r="B479" s="155" t="str">
        <f>A479&amp;". How close are the following to where you live? "&amp;Other!N6</f>
        <v>BI.E43.5. How close are the following to where you live? Bank Perkreditan Rakyat (BPR)</v>
      </c>
      <c r="C479" s="155" t="s">
        <v>576</v>
      </c>
      <c r="D479" s="76" t="s">
        <v>31</v>
      </c>
      <c r="E479" s="76">
        <v>2</v>
      </c>
      <c r="F479" s="159" t="s">
        <v>13</v>
      </c>
      <c r="G479" s="76" t="str">
        <f t="shared" si="61"/>
        <v>BI_E43_5</v>
      </c>
    </row>
    <row r="480" spans="1:10" ht="70">
      <c r="A480" s="76" t="s">
        <v>2877</v>
      </c>
      <c r="B480" s="155" t="str">
        <f>A480&amp;". How close are the following to where you live? "&amp;Other!N7</f>
        <v>BI.E43.6. How close are the following to where you live? Koperasi (Credit Union, KSP)</v>
      </c>
      <c r="C480" s="155" t="s">
        <v>576</v>
      </c>
      <c r="D480" s="76" t="s">
        <v>31</v>
      </c>
      <c r="E480" s="76">
        <v>2</v>
      </c>
      <c r="F480" s="159" t="s">
        <v>13</v>
      </c>
      <c r="G480" s="76" t="str">
        <f t="shared" si="61"/>
        <v>BI_E43_6</v>
      </c>
    </row>
    <row r="481" spans="1:7" ht="70">
      <c r="A481" s="76" t="s">
        <v>2878</v>
      </c>
      <c r="B481" s="155" t="str">
        <f>A481&amp;". How close are the following to where you live? "&amp;Other!N8</f>
        <v>BI.E43.7. How close are the following to where you live? Pawnshop</v>
      </c>
      <c r="C481" s="155" t="s">
        <v>576</v>
      </c>
      <c r="D481" s="76" t="s">
        <v>31</v>
      </c>
      <c r="E481" s="76">
        <v>3</v>
      </c>
      <c r="F481" s="159" t="s">
        <v>13</v>
      </c>
      <c r="G481" s="76" t="str">
        <f t="shared" si="61"/>
        <v>BI_E43_7</v>
      </c>
    </row>
    <row r="482" spans="1:7" ht="70">
      <c r="A482" s="76" t="s">
        <v>2879</v>
      </c>
      <c r="B482" s="155" t="str">
        <f>A482&amp;". How close are the following to where you live? "&amp;Other!N9</f>
        <v>BI.E43.8. How close are the following to where you live? Multifinance atau leasing (contoh: Adira, FIF, BAF, AAC, etc.)</v>
      </c>
      <c r="C482" s="155" t="s">
        <v>576</v>
      </c>
      <c r="D482" s="76" t="s">
        <v>31</v>
      </c>
      <c r="E482" s="76">
        <v>2</v>
      </c>
      <c r="F482" s="159" t="s">
        <v>13</v>
      </c>
      <c r="G482" s="76" t="str">
        <f t="shared" si="61"/>
        <v>BI_E43_8</v>
      </c>
    </row>
    <row r="483" spans="1:7" ht="70">
      <c r="A483" s="76" t="s">
        <v>2880</v>
      </c>
      <c r="B483" s="155" t="str">
        <f>A483&amp;". How close are the following to where you live? "&amp;Other!N10</f>
        <v>BI.E43.9. How close are the following to where you live? lembaga keungan mikro (LKM)</v>
      </c>
      <c r="C483" s="155" t="s">
        <v>576</v>
      </c>
      <c r="D483" s="76" t="s">
        <v>31</v>
      </c>
      <c r="E483" s="76">
        <v>2</v>
      </c>
      <c r="F483" s="159" t="s">
        <v>13</v>
      </c>
      <c r="G483" s="76" t="str">
        <f t="shared" si="61"/>
        <v>BI_E43_9</v>
      </c>
    </row>
    <row r="484" spans="1:7" ht="70">
      <c r="A484" s="76" t="s">
        <v>2881</v>
      </c>
      <c r="B484" s="155" t="str">
        <f>A484&amp;". How close are the following to where you live? "&amp;Other!N11</f>
        <v>BI.E43.10. How close are the following to where you live? Baitul Maal wat Tamwil (BMT), lembaga keungan mikro syariah (LKMS), or Shari’ah Bank Perkreditan Rakyat Syariah (BPRS)</v>
      </c>
      <c r="C484" s="155" t="s">
        <v>576</v>
      </c>
      <c r="D484" s="76" t="s">
        <v>31</v>
      </c>
      <c r="E484" s="76">
        <v>2</v>
      </c>
      <c r="F484" s="159" t="s">
        <v>13</v>
      </c>
      <c r="G484" s="76" t="str">
        <f t="shared" si="61"/>
        <v>BI_E43_10</v>
      </c>
    </row>
    <row r="485" spans="1:7" ht="70">
      <c r="A485" s="76" t="s">
        <v>2882</v>
      </c>
      <c r="B485" s="215" t="str">
        <f>A485&amp;". How close are the following to where you live? "&amp;Other!N12</f>
        <v>BI.E43.11. How close are the following to where you live? Agen atau kantor perusahaan Asuransi</v>
      </c>
      <c r="C485" s="215" t="s">
        <v>576</v>
      </c>
      <c r="D485" s="214" t="s">
        <v>31</v>
      </c>
      <c r="E485" s="214">
        <v>2</v>
      </c>
      <c r="F485" s="216" t="s">
        <v>13</v>
      </c>
      <c r="G485" s="214" t="str">
        <f t="shared" si="61"/>
        <v>BI_E43_11</v>
      </c>
    </row>
    <row r="486" spans="1:7" ht="70">
      <c r="A486" s="76" t="s">
        <v>2883</v>
      </c>
      <c r="B486" s="215" t="str">
        <f>A486&amp;". How close are the following to where you live? "&amp;Other!N13</f>
        <v>BI.E43.12. How close are the following to where you live? Broker atau pialang Saham</v>
      </c>
      <c r="C486" s="215" t="s">
        <v>576</v>
      </c>
      <c r="D486" s="214" t="s">
        <v>31</v>
      </c>
      <c r="E486" s="214">
        <v>2</v>
      </c>
      <c r="F486" s="216" t="s">
        <v>13</v>
      </c>
      <c r="G486" s="214" t="str">
        <f t="shared" si="61"/>
        <v>BI_E43_12</v>
      </c>
    </row>
    <row r="487" spans="1:7" ht="70">
      <c r="A487" s="76" t="s">
        <v>2884</v>
      </c>
      <c r="B487" s="215" t="str">
        <f>A487&amp;". How close are the following to where you live? "&amp;Other!N14</f>
        <v>BI.E43.13. How close are the following to where you live? Agen Penukaran uang atau Money Changer</v>
      </c>
      <c r="C487" s="215" t="s">
        <v>576</v>
      </c>
      <c r="D487" s="214" t="s">
        <v>31</v>
      </c>
      <c r="E487" s="214">
        <v>2</v>
      </c>
      <c r="F487" s="216" t="s">
        <v>13</v>
      </c>
      <c r="G487" s="214" t="str">
        <f t="shared" si="61"/>
        <v>BI_E43_13</v>
      </c>
    </row>
    <row r="488" spans="1:7" ht="70">
      <c r="A488" s="76" t="s">
        <v>2885</v>
      </c>
      <c r="B488" s="215" t="str">
        <f>A488&amp;". How close are the following to where you live? "&amp;Other!N15</f>
        <v>BI.E43.14. How close are the following to where you live? Agen transfer uang (contoh: Western Union, Money Gram)</v>
      </c>
      <c r="C488" s="215" t="s">
        <v>576</v>
      </c>
      <c r="D488" s="214" t="s">
        <v>31</v>
      </c>
      <c r="E488" s="214">
        <v>2</v>
      </c>
      <c r="F488" s="216" t="s">
        <v>13</v>
      </c>
      <c r="G488" s="214" t="str">
        <f t="shared" si="61"/>
        <v>BI_E43_14</v>
      </c>
    </row>
    <row r="489" spans="1:7" ht="42">
      <c r="A489" s="76" t="s">
        <v>577</v>
      </c>
      <c r="B489" s="155" t="str">
        <f>A489&amp;". If you had to go to this institution, how much time would it take you? "&amp;Other!N2</f>
        <v>IFI15.1A. If you had to go to this institution, how much time would it take you? Bank branch</v>
      </c>
      <c r="C489" s="155" t="s">
        <v>578</v>
      </c>
      <c r="D489" s="76" t="s">
        <v>31</v>
      </c>
      <c r="E489" s="76">
        <v>2</v>
      </c>
      <c r="F489" s="159" t="s">
        <v>13</v>
      </c>
      <c r="G489" s="76" t="str">
        <f t="shared" si="61"/>
        <v>IFI15_1A</v>
      </c>
    </row>
    <row r="490" spans="1:7">
      <c r="A490" s="76" t="s">
        <v>579</v>
      </c>
      <c r="B490" s="155" t="str">
        <f>A490&amp;". If you had to go to this institution, how much time would it take you? "&amp;Other!N2</f>
        <v>IFI15.1B. If you had to go to this institution, how much time would it take you? Bank branch</v>
      </c>
      <c r="C490" s="155" t="s">
        <v>442</v>
      </c>
      <c r="D490" s="76" t="s">
        <v>12</v>
      </c>
      <c r="E490" s="76">
        <v>2</v>
      </c>
      <c r="F490" s="159" t="s">
        <v>580</v>
      </c>
      <c r="G490" s="76" t="str">
        <f t="shared" si="61"/>
        <v>IFI15_1B</v>
      </c>
    </row>
    <row r="491" spans="1:7" ht="42">
      <c r="A491" s="76" t="s">
        <v>581</v>
      </c>
      <c r="B491" s="155" t="str">
        <f>A491&amp;". If you had to go to this institution, how much time would it take you? "&amp;Other!N3</f>
        <v>IFI15.2A. If you had to go to this institution, how much time would it take you? ATM</v>
      </c>
      <c r="C491" s="155" t="s">
        <v>578</v>
      </c>
      <c r="D491" s="76" t="s">
        <v>31</v>
      </c>
      <c r="E491" s="76">
        <v>2</v>
      </c>
      <c r="F491" s="159" t="s">
        <v>13</v>
      </c>
      <c r="G491" s="76" t="str">
        <f t="shared" si="61"/>
        <v>IFI15_2A</v>
      </c>
    </row>
    <row r="492" spans="1:7">
      <c r="A492" s="76" t="s">
        <v>582</v>
      </c>
      <c r="B492" s="155" t="str">
        <f>A492&amp;". If you had to go to this institution, how much time would it take you? "&amp;Other!N3</f>
        <v>IFI15.2B. If you had to go to this institution, how much time would it take you? ATM</v>
      </c>
      <c r="C492" s="155" t="s">
        <v>442</v>
      </c>
      <c r="D492" s="76" t="s">
        <v>12</v>
      </c>
      <c r="E492" s="76">
        <v>2</v>
      </c>
      <c r="F492" s="159" t="s">
        <v>583</v>
      </c>
      <c r="G492" s="76" t="str">
        <f t="shared" si="61"/>
        <v>IFI15_2B</v>
      </c>
    </row>
    <row r="493" spans="1:7" ht="42">
      <c r="A493" s="76" t="s">
        <v>584</v>
      </c>
      <c r="B493" s="155" t="str">
        <f>A493&amp;". If you had to go to this institution, how much time would it take you? "&amp;Other!N4</f>
        <v>IFI15.3A. If you had to go to this institution, how much time would it take you? Pos Indonesia</v>
      </c>
      <c r="C493" s="155" t="s">
        <v>578</v>
      </c>
      <c r="D493" s="76" t="s">
        <v>31</v>
      </c>
      <c r="E493" s="76">
        <v>2</v>
      </c>
      <c r="F493" s="159" t="s">
        <v>13</v>
      </c>
      <c r="G493" s="76" t="str">
        <f t="shared" si="61"/>
        <v>IFI15_3A</v>
      </c>
    </row>
    <row r="494" spans="1:7" ht="28">
      <c r="A494" s="76" t="s">
        <v>585</v>
      </c>
      <c r="B494" s="155" t="str">
        <f>A494&amp;". If you had to go to this institution, how much time would it take you? "&amp;Other!N4</f>
        <v>IFI15.3B. If you had to go to this institution, how much time would it take you? Pos Indonesia</v>
      </c>
      <c r="C494" s="155" t="s">
        <v>442</v>
      </c>
      <c r="D494" s="76" t="s">
        <v>12</v>
      </c>
      <c r="E494" s="76">
        <v>2</v>
      </c>
      <c r="F494" s="159" t="s">
        <v>586</v>
      </c>
      <c r="G494" s="76" t="str">
        <f t="shared" si="61"/>
        <v>IFI15_3B</v>
      </c>
    </row>
    <row r="495" spans="1:7" ht="42">
      <c r="A495" s="76" t="s">
        <v>587</v>
      </c>
      <c r="B495" s="155" t="str">
        <f>A495&amp;". If you had to go to this institution, how much time would it take you? "&amp;Other!N5</f>
        <v>IFI15.4A. If you had to go to this institution, how much time would it take you? Layanan Keuangan Digital (LKD)/Laku Pandai Agent</v>
      </c>
      <c r="C495" s="155" t="s">
        <v>578</v>
      </c>
      <c r="D495" s="76" t="s">
        <v>31</v>
      </c>
      <c r="E495" s="76">
        <v>2</v>
      </c>
      <c r="F495" s="159" t="s">
        <v>13</v>
      </c>
      <c r="G495" s="76" t="str">
        <f t="shared" si="61"/>
        <v>IFI15_4A</v>
      </c>
    </row>
    <row r="496" spans="1:7" ht="28">
      <c r="A496" s="76" t="s">
        <v>588</v>
      </c>
      <c r="B496" s="155" t="str">
        <f>A496&amp;". If you had to go to this institution, how much time would it take you? "&amp;Other!N5</f>
        <v>IFI15.4B. If you had to go to this institution, how much time would it take you? Layanan Keuangan Digital (LKD)/Laku Pandai Agent</v>
      </c>
      <c r="C496" s="155" t="s">
        <v>442</v>
      </c>
      <c r="D496" s="76" t="s">
        <v>12</v>
      </c>
      <c r="E496" s="76">
        <v>2</v>
      </c>
      <c r="F496" s="159" t="s">
        <v>589</v>
      </c>
      <c r="G496" s="76" t="str">
        <f t="shared" si="61"/>
        <v>IFI15_4B</v>
      </c>
    </row>
    <row r="497" spans="1:7" ht="42">
      <c r="A497" s="76" t="s">
        <v>590</v>
      </c>
      <c r="B497" s="155" t="str">
        <f>A497&amp;". If you had to go to this institution, how much time would it take you? "&amp;Other!N6</f>
        <v>IFI15.5A. If you had to go to this institution, how much time would it take you? Bank Perkreditan Rakyat (BPR)</v>
      </c>
      <c r="C497" s="155" t="s">
        <v>578</v>
      </c>
      <c r="D497" s="76" t="s">
        <v>31</v>
      </c>
      <c r="E497" s="76">
        <v>2</v>
      </c>
      <c r="F497" s="159" t="s">
        <v>13</v>
      </c>
      <c r="G497" s="76" t="str">
        <f t="shared" si="61"/>
        <v>IFI15_5A</v>
      </c>
    </row>
    <row r="498" spans="1:7" ht="28">
      <c r="A498" s="76" t="s">
        <v>591</v>
      </c>
      <c r="B498" s="155" t="str">
        <f>A498&amp;". If you had to go to this institution, how much time would it take you? "&amp;Other!N6</f>
        <v>IFI15.5B. If you had to go to this institution, how much time would it take you? Bank Perkreditan Rakyat (BPR)</v>
      </c>
      <c r="C498" s="155" t="s">
        <v>442</v>
      </c>
      <c r="D498" s="76" t="s">
        <v>12</v>
      </c>
      <c r="E498" s="76">
        <v>2</v>
      </c>
      <c r="F498" s="159" t="s">
        <v>592</v>
      </c>
      <c r="G498" s="76" t="str">
        <f t="shared" si="61"/>
        <v>IFI15_5B</v>
      </c>
    </row>
    <row r="499" spans="1:7" ht="42">
      <c r="A499" s="76" t="s">
        <v>593</v>
      </c>
      <c r="B499" s="155" t="str">
        <f>A499&amp;". If you had to go to this institution, how much time would it take you? "&amp;Other!N7</f>
        <v>IFI15.6A. If you had to go to this institution, how much time would it take you? Koperasi (Credit Union, KSP)</v>
      </c>
      <c r="C499" s="155" t="s">
        <v>578</v>
      </c>
      <c r="D499" s="76" t="s">
        <v>31</v>
      </c>
      <c r="E499" s="76">
        <v>2</v>
      </c>
      <c r="F499" s="159" t="s">
        <v>13</v>
      </c>
      <c r="G499" s="76" t="str">
        <f t="shared" si="61"/>
        <v>IFI15_6A</v>
      </c>
    </row>
    <row r="500" spans="1:7" ht="28">
      <c r="A500" s="76" t="s">
        <v>594</v>
      </c>
      <c r="B500" s="155" t="str">
        <f>A500&amp;". If you had to go to this institution, how much time would it take you? "&amp;Other!N7</f>
        <v>IFI15.6B. If you had to go to this institution, how much time would it take you? Koperasi (Credit Union, KSP)</v>
      </c>
      <c r="C500" s="155" t="s">
        <v>442</v>
      </c>
      <c r="D500" s="76" t="s">
        <v>12</v>
      </c>
      <c r="E500" s="76">
        <v>2</v>
      </c>
      <c r="F500" s="159" t="s">
        <v>595</v>
      </c>
      <c r="G500" s="76" t="str">
        <f t="shared" si="61"/>
        <v>IFI15_6B</v>
      </c>
    </row>
    <row r="501" spans="1:7" ht="42">
      <c r="A501" s="76" t="s">
        <v>596</v>
      </c>
      <c r="B501" s="155" t="str">
        <f>A501&amp;". If you had to go to this institution, how much time would it take you? "&amp;Other!N8</f>
        <v>IFI15.7A. If you had to go to this institution, how much time would it take you? Pawnshop</v>
      </c>
      <c r="C501" s="155" t="s">
        <v>578</v>
      </c>
      <c r="D501" s="76" t="s">
        <v>31</v>
      </c>
      <c r="E501" s="76">
        <v>2</v>
      </c>
      <c r="F501" s="159" t="s">
        <v>13</v>
      </c>
      <c r="G501" s="76" t="str">
        <f t="shared" si="61"/>
        <v>IFI15_7A</v>
      </c>
    </row>
    <row r="502" spans="1:7">
      <c r="A502" s="76" t="s">
        <v>597</v>
      </c>
      <c r="B502" s="155" t="str">
        <f>A502&amp;". If you had to go to this institution, how much time would it take you? "&amp;Other!N8</f>
        <v>IFI15.7B. If you had to go to this institution, how much time would it take you? Pawnshop</v>
      </c>
      <c r="C502" s="155" t="s">
        <v>442</v>
      </c>
      <c r="D502" s="76" t="s">
        <v>12</v>
      </c>
      <c r="E502" s="76">
        <v>2</v>
      </c>
      <c r="F502" s="159" t="s">
        <v>598</v>
      </c>
      <c r="G502" s="76" t="str">
        <f t="shared" si="61"/>
        <v>IFI15_7B</v>
      </c>
    </row>
    <row r="503" spans="1:7" ht="42">
      <c r="A503" s="76" t="s">
        <v>599</v>
      </c>
      <c r="B503" s="155" t="str">
        <f>A503&amp;". If you had to go to this institution, how much time would it take you? "&amp;Other!N9</f>
        <v>IFI15.8A. If you had to go to this institution, how much time would it take you? Multifinance atau leasing (contoh: Adira, FIF, BAF, AAC, etc.)</v>
      </c>
      <c r="C503" s="155" t="s">
        <v>578</v>
      </c>
      <c r="D503" s="76" t="s">
        <v>31</v>
      </c>
      <c r="E503" s="76">
        <v>2</v>
      </c>
      <c r="F503" s="159" t="s">
        <v>13</v>
      </c>
      <c r="G503" s="76" t="str">
        <f t="shared" si="61"/>
        <v>IFI15_8A</v>
      </c>
    </row>
    <row r="504" spans="1:7" ht="28">
      <c r="A504" s="76" t="s">
        <v>600</v>
      </c>
      <c r="B504" s="155" t="str">
        <f>A504&amp;". If you had to go to this institution, how much time would it take you? "&amp;Other!N9</f>
        <v>IFI15.8B. If you had to go to this institution, how much time would it take you? Multifinance atau leasing (contoh: Adira, FIF, BAF, AAC, etc.)</v>
      </c>
      <c r="C504" s="155" t="s">
        <v>442</v>
      </c>
      <c r="D504" s="76" t="s">
        <v>12</v>
      </c>
      <c r="E504" s="76">
        <v>2</v>
      </c>
      <c r="F504" s="159" t="s">
        <v>601</v>
      </c>
      <c r="G504" s="76" t="str">
        <f t="shared" si="61"/>
        <v>IFI15_8B</v>
      </c>
    </row>
    <row r="505" spans="1:7" ht="42">
      <c r="A505" s="76" t="s">
        <v>602</v>
      </c>
      <c r="B505" s="155" t="str">
        <f>A505&amp;". If you had to go to this institution, how much time would it take you? "&amp;Other!N10</f>
        <v>IFI15.9A. If you had to go to this institution, how much time would it take you? lembaga keungan mikro (LKM)</v>
      </c>
      <c r="C505" s="155" t="s">
        <v>578</v>
      </c>
      <c r="D505" s="76" t="s">
        <v>31</v>
      </c>
      <c r="E505" s="76">
        <v>2</v>
      </c>
      <c r="F505" s="159" t="s">
        <v>13</v>
      </c>
      <c r="G505" s="76" t="str">
        <f t="shared" si="61"/>
        <v>IFI15_9A</v>
      </c>
    </row>
    <row r="506" spans="1:7" ht="28">
      <c r="A506" s="76" t="s">
        <v>603</v>
      </c>
      <c r="B506" s="155" t="str">
        <f>A506&amp;". If you had to go to this institution, how much time would it take you? "&amp;Other!N10</f>
        <v>IFI15.9B. If you had to go to this institution, how much time would it take you? lembaga keungan mikro (LKM)</v>
      </c>
      <c r="C506" s="155" t="s">
        <v>442</v>
      </c>
      <c r="D506" s="76" t="s">
        <v>12</v>
      </c>
      <c r="E506" s="76">
        <v>2</v>
      </c>
      <c r="F506" s="159" t="s">
        <v>604</v>
      </c>
      <c r="G506" s="76" t="str">
        <f t="shared" si="61"/>
        <v>IFI15_9B</v>
      </c>
    </row>
    <row r="507" spans="1:7" ht="42">
      <c r="A507" s="76" t="s">
        <v>605</v>
      </c>
      <c r="B507" s="155" t="str">
        <f>A507&amp;". If you had to go to this institution, how much time would it take you? "&amp;Other!N11</f>
        <v>IFI15.10A. If you had to go to this institution, how much time would it take you? Baitul Maal wat Tamwil (BMT), lembaga keungan mikro syariah (LKMS), or Shari’ah Bank Perkreditan Rakyat Syariah (BPRS)</v>
      </c>
      <c r="C507" s="155" t="s">
        <v>578</v>
      </c>
      <c r="D507" s="76" t="s">
        <v>31</v>
      </c>
      <c r="E507" s="76">
        <v>2</v>
      </c>
      <c r="F507" s="159" t="s">
        <v>13</v>
      </c>
      <c r="G507" s="76" t="str">
        <f t="shared" si="61"/>
        <v>IFI15_10A</v>
      </c>
    </row>
    <row r="508" spans="1:7" ht="42">
      <c r="A508" s="76" t="s">
        <v>606</v>
      </c>
      <c r="B508" s="155" t="str">
        <f>A508&amp;". If you had to go to this institution, how much time would it take you? "&amp;Other!N11</f>
        <v>IFI15.10B. If you had to go to this institution, how much time would it take you? Baitul Maal wat Tamwil (BMT), lembaga keungan mikro syariah (LKMS), or Shari’ah Bank Perkreditan Rakyat Syariah (BPRS)</v>
      </c>
      <c r="C508" s="155" t="s">
        <v>442</v>
      </c>
      <c r="D508" s="76" t="s">
        <v>12</v>
      </c>
      <c r="E508" s="76">
        <v>2</v>
      </c>
      <c r="F508" s="159" t="s">
        <v>607</v>
      </c>
      <c r="G508" s="76" t="str">
        <f t="shared" si="61"/>
        <v>IFI15_10B</v>
      </c>
    </row>
    <row r="509" spans="1:7" ht="42">
      <c r="A509" s="214" t="s">
        <v>2859</v>
      </c>
      <c r="B509" s="215" t="str">
        <f>A509&amp;". If you had to go to this institution, how much time would it take you? "&amp;Other!N12</f>
        <v>IFI15.11A. If you had to go to this institution, how much time would it take you? Agen atau kantor perusahaan Asuransi</v>
      </c>
      <c r="C509" s="215" t="s">
        <v>578</v>
      </c>
      <c r="D509" s="214" t="s">
        <v>31</v>
      </c>
      <c r="E509" s="214">
        <v>2</v>
      </c>
      <c r="F509" s="216" t="s">
        <v>13</v>
      </c>
      <c r="G509" s="214" t="str">
        <f t="shared" si="61"/>
        <v>IFI15_11A</v>
      </c>
    </row>
    <row r="510" spans="1:7" ht="28">
      <c r="A510" s="214" t="s">
        <v>2860</v>
      </c>
      <c r="B510" s="215" t="str">
        <f>A510&amp;". If you had to go to this institution, how much time would it take you? "&amp;Other!N12</f>
        <v>IFI15.11B. If you had to go to this institution, how much time would it take you? Agen atau kantor perusahaan Asuransi</v>
      </c>
      <c r="C510" s="215" t="s">
        <v>442</v>
      </c>
      <c r="D510" s="214" t="s">
        <v>12</v>
      </c>
      <c r="E510" s="214">
        <v>2</v>
      </c>
      <c r="F510" s="216" t="s">
        <v>2867</v>
      </c>
      <c r="G510" s="214" t="str">
        <f t="shared" si="61"/>
        <v>IFI15_11B</v>
      </c>
    </row>
    <row r="511" spans="1:7" ht="42">
      <c r="A511" s="214" t="s">
        <v>2861</v>
      </c>
      <c r="B511" s="215" t="str">
        <f>A511&amp;". If you had to go to this institution, how much time would it take you? "&amp;Other!N13</f>
        <v>IFI15.12A. If you had to go to this institution, how much time would it take you? Broker atau pialang Saham</v>
      </c>
      <c r="C511" s="215" t="s">
        <v>578</v>
      </c>
      <c r="D511" s="214" t="s">
        <v>31</v>
      </c>
      <c r="E511" s="214">
        <v>2</v>
      </c>
      <c r="F511" s="216" t="s">
        <v>13</v>
      </c>
      <c r="G511" s="214" t="str">
        <f t="shared" ref="G511:G516" si="62">SUBSTITUTE(A511,".","_")</f>
        <v>IFI15_12A</v>
      </c>
    </row>
    <row r="512" spans="1:7" ht="28">
      <c r="A512" s="214" t="s">
        <v>2862</v>
      </c>
      <c r="B512" s="215" t="str">
        <f>A512&amp;". If you had to go to this institution, how much time would it take you? "&amp;Other!N13</f>
        <v>IFI15.12B. If you had to go to this institution, how much time would it take you? Broker atau pialang Saham</v>
      </c>
      <c r="C512" s="215" t="s">
        <v>442</v>
      </c>
      <c r="D512" s="214" t="s">
        <v>12</v>
      </c>
      <c r="E512" s="214">
        <v>2</v>
      </c>
      <c r="F512" s="216" t="s">
        <v>2868</v>
      </c>
      <c r="G512" s="214" t="str">
        <f t="shared" si="62"/>
        <v>IFI15_12B</v>
      </c>
    </row>
    <row r="513" spans="1:7" ht="42">
      <c r="A513" s="214" t="s">
        <v>2863</v>
      </c>
      <c r="B513" s="215" t="str">
        <f>A513&amp;". If you had to go to this institution, how much time would it take you? "&amp;Other!N14</f>
        <v>IFI15.13A. If you had to go to this institution, how much time would it take you? Agen Penukaran uang atau Money Changer</v>
      </c>
      <c r="C513" s="215" t="s">
        <v>578</v>
      </c>
      <c r="D513" s="214" t="s">
        <v>31</v>
      </c>
      <c r="E513" s="214">
        <v>2</v>
      </c>
      <c r="F513" s="216" t="s">
        <v>13</v>
      </c>
      <c r="G513" s="214" t="str">
        <f t="shared" si="62"/>
        <v>IFI15_13A</v>
      </c>
    </row>
    <row r="514" spans="1:7" ht="28">
      <c r="A514" s="214" t="s">
        <v>2864</v>
      </c>
      <c r="B514" s="215" t="str">
        <f>A514&amp;". If you had to go to this institution, how much time would it take you? "&amp;Other!N14</f>
        <v>IFI15.13B. If you had to go to this institution, how much time would it take you? Agen Penukaran uang atau Money Changer</v>
      </c>
      <c r="C514" s="215" t="s">
        <v>442</v>
      </c>
      <c r="D514" s="214" t="s">
        <v>12</v>
      </c>
      <c r="E514" s="214">
        <v>2</v>
      </c>
      <c r="F514" s="216" t="s">
        <v>2869</v>
      </c>
      <c r="G514" s="214" t="str">
        <f t="shared" si="62"/>
        <v>IFI15_13B</v>
      </c>
    </row>
    <row r="515" spans="1:7" ht="42">
      <c r="A515" s="214" t="s">
        <v>2865</v>
      </c>
      <c r="B515" s="215" t="str">
        <f>A515&amp;". If you had to go to this institution, how much time would it take you? "&amp;Other!N15</f>
        <v>IFI15.14A. If you had to go to this institution, how much time would it take you? Agen transfer uang (contoh: Western Union, Money Gram)</v>
      </c>
      <c r="C515" s="215" t="s">
        <v>578</v>
      </c>
      <c r="D515" s="214" t="s">
        <v>31</v>
      </c>
      <c r="E515" s="214">
        <v>2</v>
      </c>
      <c r="F515" s="216" t="s">
        <v>13</v>
      </c>
      <c r="G515" s="214" t="str">
        <f t="shared" si="62"/>
        <v>IFI15_14A</v>
      </c>
    </row>
    <row r="516" spans="1:7" ht="28">
      <c r="A516" s="214" t="s">
        <v>2866</v>
      </c>
      <c r="B516" s="215" t="str">
        <f>A516&amp;". If you had to go to this institution, how much time would it take you? "&amp;Other!N15</f>
        <v>IFI15.14B. If you had to go to this institution, how much time would it take you? Agen transfer uang (contoh: Western Union, Money Gram)</v>
      </c>
      <c r="C516" s="215" t="s">
        <v>442</v>
      </c>
      <c r="D516" s="214" t="s">
        <v>12</v>
      </c>
      <c r="E516" s="214">
        <v>2</v>
      </c>
      <c r="F516" s="216" t="s">
        <v>2870</v>
      </c>
      <c r="G516" s="214" t="str">
        <f t="shared" si="62"/>
        <v>IFI15_14B</v>
      </c>
    </row>
    <row r="517" spans="1:7">
      <c r="A517" s="257" t="s">
        <v>2897</v>
      </c>
      <c r="B517" s="258"/>
      <c r="C517" s="258"/>
      <c r="D517" s="258"/>
      <c r="E517" s="258"/>
      <c r="F517" s="258"/>
      <c r="G517" s="259"/>
    </row>
    <row r="518" spans="1:7">
      <c r="A518" s="3" t="s">
        <v>2</v>
      </c>
      <c r="B518" s="4" t="s">
        <v>3</v>
      </c>
      <c r="C518" s="4" t="s">
        <v>4</v>
      </c>
      <c r="D518" s="3" t="s">
        <v>5</v>
      </c>
      <c r="E518" s="4" t="s">
        <v>6</v>
      </c>
      <c r="F518" s="4" t="s">
        <v>7</v>
      </c>
      <c r="G518" s="3" t="s">
        <v>8</v>
      </c>
    </row>
    <row r="519" spans="1:7" ht="154">
      <c r="A519" s="76" t="s">
        <v>608</v>
      </c>
      <c r="B519" s="155" t="s">
        <v>609</v>
      </c>
      <c r="C519" s="155" t="s">
        <v>610</v>
      </c>
      <c r="D519" s="76" t="s">
        <v>31</v>
      </c>
      <c r="E519" s="76">
        <v>1</v>
      </c>
      <c r="F519" s="155" t="s">
        <v>13</v>
      </c>
      <c r="G519" s="76" t="str">
        <f>SUBSTITUTE(A519,".","_")</f>
        <v>LN1</v>
      </c>
    </row>
    <row r="520" spans="1:7" ht="70">
      <c r="A520" s="76" t="s">
        <v>611</v>
      </c>
      <c r="B520" s="155" t="str">
        <f>A520&amp;". On a scale from 1 (cannot do at all) to 5 (excellent), please evaluate how you perform in the following areas: "&amp;"Reading in Bahasa"</f>
        <v>LN2.1. On a scale from 1 (cannot do at all) to 5 (excellent), please evaluate how you perform in the following areas: Reading in Bahasa</v>
      </c>
      <c r="C520" s="155" t="s">
        <v>612</v>
      </c>
      <c r="D520" s="76" t="s">
        <v>31</v>
      </c>
      <c r="E520" s="76">
        <v>1</v>
      </c>
      <c r="F520" s="155" t="s">
        <v>13</v>
      </c>
      <c r="G520" s="76" t="str">
        <f>SUBSTITUTE(A520,".","_")</f>
        <v>LN2_1</v>
      </c>
    </row>
    <row r="521" spans="1:7" ht="70">
      <c r="A521" s="76" t="s">
        <v>613</v>
      </c>
      <c r="B521" s="155" t="str">
        <f>A521&amp;". On a scale from 1 (cannot do at all) to 5 (excellent), please evaluate how you perform in the following areas: "&amp;"Writing in Bahasa"</f>
        <v>LN2.2. On a scale from 1 (cannot do at all) to 5 (excellent), please evaluate how you perform in the following areas: Writing in Bahasa</v>
      </c>
      <c r="C521" s="155" t="s">
        <v>614</v>
      </c>
      <c r="D521" s="76" t="s">
        <v>31</v>
      </c>
      <c r="E521" s="76">
        <v>1</v>
      </c>
      <c r="F521" s="155" t="s">
        <v>13</v>
      </c>
      <c r="G521" s="76" t="str">
        <f>SUBSTITUTE(A521,".","_")</f>
        <v>LN2_2</v>
      </c>
    </row>
    <row r="522" spans="1:7">
      <c r="A522" s="257" t="s">
        <v>2898</v>
      </c>
      <c r="B522" s="258"/>
      <c r="C522" s="258"/>
      <c r="D522" s="258"/>
      <c r="E522" s="258"/>
      <c r="F522" s="258"/>
      <c r="G522" s="259"/>
    </row>
    <row r="523" spans="1:7">
      <c r="A523" s="3" t="s">
        <v>2</v>
      </c>
      <c r="B523" s="4" t="s">
        <v>3</v>
      </c>
      <c r="C523" s="4" t="s">
        <v>4</v>
      </c>
      <c r="D523" s="3" t="s">
        <v>5</v>
      </c>
      <c r="E523" s="4" t="s">
        <v>6</v>
      </c>
      <c r="F523" s="4" t="s">
        <v>7</v>
      </c>
      <c r="G523" s="3" t="s">
        <v>8</v>
      </c>
    </row>
    <row r="524" spans="1:7" ht="28">
      <c r="A524" s="5" t="s">
        <v>615</v>
      </c>
      <c r="B524" s="6" t="str">
        <f>A524&amp;". Would you consent to taking part in a follow up study with us?"</f>
        <v>RI4. Would you consent to taking part in a follow up study with us?</v>
      </c>
      <c r="C524" s="6" t="s">
        <v>125</v>
      </c>
      <c r="D524" s="5" t="s">
        <v>31</v>
      </c>
      <c r="E524" s="5">
        <v>1</v>
      </c>
      <c r="F524" s="7" t="s">
        <v>13</v>
      </c>
      <c r="G524" s="5" t="str">
        <f>SUBSTITUTE(A524,".","_")</f>
        <v>RI4</v>
      </c>
    </row>
    <row r="525" spans="1:7" ht="42">
      <c r="A525" s="5" t="s">
        <v>616</v>
      </c>
      <c r="B525" s="6" t="str">
        <f>A525&amp;". Can you give me all the mobile phone numbers you use regularly to make or to receive calls and text messages? No 1. Phone number "</f>
        <v xml:space="preserve">RI5.1. Can you give me all the mobile phone numbers you use regularly to make or to receive calls and text messages? No 1. Phone number </v>
      </c>
      <c r="C525" s="229" t="s">
        <v>2920</v>
      </c>
      <c r="D525" s="5" t="s">
        <v>12</v>
      </c>
      <c r="E525" s="5">
        <v>20</v>
      </c>
      <c r="F525" s="7" t="s">
        <v>13</v>
      </c>
      <c r="G525" s="5" t="str">
        <f>SUBSTITUTE(A525,".","_")</f>
        <v>RI5_1</v>
      </c>
    </row>
    <row r="526" spans="1:7" ht="42">
      <c r="A526" s="5" t="s">
        <v>617</v>
      </c>
      <c r="B526" s="6" t="str">
        <f>A526&amp;". Can you give me all the mobile phone numbers you use regularly to make or to receive calls and text messages? No 2. Phone number "</f>
        <v xml:space="preserve">RI5.2. Can you give me all the mobile phone numbers you use regularly to make or to receive calls and text messages? No 2. Phone number </v>
      </c>
      <c r="C526" s="229" t="s">
        <v>2920</v>
      </c>
      <c r="D526" s="5" t="s">
        <v>12</v>
      </c>
      <c r="E526" s="5">
        <v>20</v>
      </c>
      <c r="F526" s="7" t="s">
        <v>13</v>
      </c>
      <c r="G526" s="5" t="str">
        <f>SUBSTITUTE(A526,".","_")</f>
        <v>RI5_2</v>
      </c>
    </row>
    <row r="527" spans="1:7" ht="42">
      <c r="A527" s="5" t="s">
        <v>618</v>
      </c>
      <c r="B527" s="6" t="str">
        <f>A527&amp;". Can you give me all the mobile phone numbers you use regularly to make or to receive calls and text messages? No 3. Phone number "</f>
        <v xml:space="preserve">RI5.3. Can you give me all the mobile phone numbers you use regularly to make or to receive calls and text messages? No 3. Phone number </v>
      </c>
      <c r="C527" s="229" t="s">
        <v>2920</v>
      </c>
      <c r="D527" s="5" t="s">
        <v>12</v>
      </c>
      <c r="E527" s="5">
        <v>20</v>
      </c>
      <c r="F527" s="7" t="s">
        <v>13</v>
      </c>
      <c r="G527" s="5" t="str">
        <f>SUBSTITUTE(A527,".","_")</f>
        <v>RI5_3</v>
      </c>
    </row>
    <row r="528" spans="1:7" ht="140">
      <c r="A528" s="5" t="s">
        <v>619</v>
      </c>
      <c r="B528" s="6" t="str">
        <f>A528&amp;". Result of household interview"</f>
        <v>HH1. Result of household interview</v>
      </c>
      <c r="C528" s="6" t="s">
        <v>620</v>
      </c>
      <c r="D528" s="5" t="s">
        <v>31</v>
      </c>
      <c r="E528" s="5">
        <v>2</v>
      </c>
      <c r="F528" s="127" t="s">
        <v>11</v>
      </c>
      <c r="G528" s="5" t="str">
        <f>SUBSTITUTE(A528,".","_")</f>
        <v>HH1</v>
      </c>
    </row>
    <row r="529" spans="1:7" ht="70">
      <c r="A529" s="128" t="s">
        <v>621</v>
      </c>
      <c r="B529" s="6" t="str">
        <f>A529&amp;". Result of the interview with the selected respondent"</f>
        <v>HH2. Result of the interview with the selected respondent</v>
      </c>
      <c r="C529" s="6" t="s">
        <v>622</v>
      </c>
      <c r="D529" s="5" t="s">
        <v>31</v>
      </c>
      <c r="E529" s="5">
        <v>2</v>
      </c>
      <c r="F529" s="127" t="s">
        <v>11</v>
      </c>
      <c r="G529" s="5" t="str">
        <f>A529</f>
        <v>HH2</v>
      </c>
    </row>
  </sheetData>
  <mergeCells count="21">
    <mergeCell ref="A517:G517"/>
    <mergeCell ref="A522:G522"/>
    <mergeCell ref="A460:G460"/>
    <mergeCell ref="A450:G450"/>
    <mergeCell ref="A473:G473"/>
    <mergeCell ref="A100:G100"/>
    <mergeCell ref="A440:G440"/>
    <mergeCell ref="I1:I2"/>
    <mergeCell ref="A1:G1"/>
    <mergeCell ref="A277:G277"/>
    <mergeCell ref="A118:C118"/>
    <mergeCell ref="A125:G125"/>
    <mergeCell ref="A2:G2"/>
    <mergeCell ref="A21:C21"/>
    <mergeCell ref="A53:G53"/>
    <mergeCell ref="A59:C59"/>
    <mergeCell ref="A67:G67"/>
    <mergeCell ref="A87:G87"/>
    <mergeCell ref="A246:E246"/>
    <mergeCell ref="A232:C232"/>
    <mergeCell ref="A331:G331"/>
  </mergeCells>
  <hyperlinks>
    <hyperlink ref="C72" location="vDL2!A1" display="see sheet vDL2" xr:uid="{00000000-0004-0000-0000-000000000000}"/>
    <hyperlink ref="C71" location="vDL1!A1" display="see sheet vDL1" xr:uid="{00000000-0004-0000-0000-000001000000}"/>
    <hyperlink ref="C58" location="'vDG4'!A1" display="see vDG4 sheet" xr:uid="{00000000-0004-0000-0000-000002000000}"/>
  </hyperlinks>
  <pageMargins left="0.7" right="0.7" top="0.75" bottom="0.75" header="0.3" footer="0.3"/>
  <pageSetup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173" sqref="B173"/>
    </sheetView>
  </sheetViews>
  <sheetFormatPr baseColWidth="10" defaultColWidth="8.83203125" defaultRowHeight="15"/>
  <cols>
    <col min="1" max="1" width="45" customWidth="1"/>
    <col min="2" max="2" width="43.1640625" customWidth="1"/>
  </cols>
  <sheetData>
    <row r="1" spans="1:2" s="144" customFormat="1">
      <c r="A1" s="144" t="s">
        <v>2333</v>
      </c>
      <c r="B1" s="144" t="s">
        <v>2334</v>
      </c>
    </row>
    <row r="2" spans="1:2" ht="16">
      <c r="A2" s="18" t="s">
        <v>2335</v>
      </c>
      <c r="B2" s="18" t="s">
        <v>2336</v>
      </c>
    </row>
    <row r="3" spans="1:2" ht="48">
      <c r="A3" s="18" t="s">
        <v>2337</v>
      </c>
      <c r="B3" s="18" t="s">
        <v>2338</v>
      </c>
    </row>
    <row r="4" spans="1:2" ht="32">
      <c r="A4" s="18" t="s">
        <v>2339</v>
      </c>
      <c r="B4" s="18" t="s">
        <v>2340</v>
      </c>
    </row>
    <row r="5" spans="1:2" ht="16">
      <c r="A5" s="18" t="s">
        <v>2341</v>
      </c>
      <c r="B5" s="18" t="s">
        <v>2342</v>
      </c>
    </row>
    <row r="6" spans="1:2" ht="16">
      <c r="A6" s="18" t="s">
        <v>2343</v>
      </c>
      <c r="B6" s="18" t="s">
        <v>2344</v>
      </c>
    </row>
    <row r="7" spans="1:2" ht="16">
      <c r="A7" s="18" t="s">
        <v>2345</v>
      </c>
      <c r="B7" s="18" t="s">
        <v>2346</v>
      </c>
    </row>
    <row r="8" spans="1:2" ht="16">
      <c r="A8" s="18" t="s">
        <v>2347</v>
      </c>
      <c r="B8" s="18" t="s">
        <v>2348</v>
      </c>
    </row>
    <row r="9" spans="1:2" ht="16">
      <c r="A9" s="18" t="s">
        <v>2349</v>
      </c>
      <c r="B9" s="18" t="s">
        <v>2350</v>
      </c>
    </row>
    <row r="10" spans="1:2" ht="16">
      <c r="A10" s="18" t="s">
        <v>2351</v>
      </c>
      <c r="B10" s="18" t="s">
        <v>2352</v>
      </c>
    </row>
    <row r="11" spans="1:2" ht="16">
      <c r="A11" s="18" t="s">
        <v>2353</v>
      </c>
      <c r="B11" s="18" t="s">
        <v>2354</v>
      </c>
    </row>
    <row r="12" spans="1:2" ht="32">
      <c r="A12" s="18" t="s">
        <v>2355</v>
      </c>
      <c r="B12" s="18" t="s">
        <v>2356</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heetViews>
  <sheetFormatPr baseColWidth="10" defaultColWidth="8.83203125" defaultRowHeight="15"/>
  <cols>
    <col min="2" max="2" width="51" customWidth="1"/>
  </cols>
  <sheetData>
    <row r="1" spans="1:2">
      <c r="A1" s="150" t="s">
        <v>2357</v>
      </c>
      <c r="B1" s="151" t="s">
        <v>2358</v>
      </c>
    </row>
    <row r="2" spans="1:2">
      <c r="A2">
        <v>1</v>
      </c>
      <c r="B2" s="132" t="s">
        <v>2359</v>
      </c>
    </row>
    <row r="3" spans="1:2">
      <c r="A3">
        <v>2</v>
      </c>
      <c r="B3" s="132" t="s">
        <v>2360</v>
      </c>
    </row>
    <row r="4" spans="1:2">
      <c r="A4">
        <v>3</v>
      </c>
      <c r="B4" s="132" t="s">
        <v>2361</v>
      </c>
    </row>
    <row r="5" spans="1:2">
      <c r="A5">
        <v>4</v>
      </c>
      <c r="B5" s="132" t="s">
        <v>2362</v>
      </c>
    </row>
    <row r="6" spans="1:2">
      <c r="A6">
        <v>5</v>
      </c>
      <c r="B6" s="132" t="s">
        <v>2363</v>
      </c>
    </row>
    <row r="7" spans="1:2">
      <c r="A7">
        <v>6</v>
      </c>
      <c r="B7" s="132" t="s">
        <v>2364</v>
      </c>
    </row>
    <row r="8" spans="1:2">
      <c r="A8">
        <v>7</v>
      </c>
      <c r="B8" s="132" t="s">
        <v>2365</v>
      </c>
    </row>
    <row r="9" spans="1:2">
      <c r="A9">
        <v>8</v>
      </c>
      <c r="B9" s="132" t="s">
        <v>2366</v>
      </c>
    </row>
    <row r="10" spans="1:2">
      <c r="A10">
        <v>9</v>
      </c>
      <c r="B10" s="132" t="s">
        <v>2367</v>
      </c>
    </row>
    <row r="11" spans="1:2">
      <c r="A11">
        <v>96</v>
      </c>
      <c r="B11" s="132" t="s">
        <v>752</v>
      </c>
    </row>
    <row r="12" spans="1:2">
      <c r="A12">
        <v>-2</v>
      </c>
      <c r="B12" s="132" t="s">
        <v>754</v>
      </c>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heetViews>
  <sheetFormatPr baseColWidth="10" defaultColWidth="8.83203125" defaultRowHeight="15"/>
  <cols>
    <col min="2" max="2" width="58.1640625" customWidth="1"/>
  </cols>
  <sheetData>
    <row r="1" spans="1:2">
      <c r="A1" s="150" t="s">
        <v>2357</v>
      </c>
      <c r="B1" s="151" t="s">
        <v>2358</v>
      </c>
    </row>
    <row r="2" spans="1:2">
      <c r="A2" s="152">
        <v>1</v>
      </c>
      <c r="B2" s="132" t="s">
        <v>2368</v>
      </c>
    </row>
    <row r="3" spans="1:2">
      <c r="A3" s="152">
        <v>2</v>
      </c>
      <c r="B3" s="132" t="s">
        <v>2369</v>
      </c>
    </row>
    <row r="4" spans="1:2">
      <c r="A4" s="152">
        <v>3</v>
      </c>
      <c r="B4" s="132" t="s">
        <v>2370</v>
      </c>
    </row>
    <row r="5" spans="1:2">
      <c r="A5" s="152">
        <v>4</v>
      </c>
      <c r="B5" s="132" t="s">
        <v>2371</v>
      </c>
    </row>
    <row r="6" spans="1:2">
      <c r="A6" s="152">
        <v>5</v>
      </c>
      <c r="B6" s="132" t="s">
        <v>2372</v>
      </c>
    </row>
    <row r="7" spans="1:2">
      <c r="A7" s="152">
        <v>6</v>
      </c>
      <c r="B7" s="132" t="s">
        <v>2373</v>
      </c>
    </row>
    <row r="8" spans="1:2">
      <c r="A8" s="152">
        <v>7</v>
      </c>
      <c r="B8" s="132" t="s">
        <v>2374</v>
      </c>
    </row>
    <row r="9" spans="1:2">
      <c r="A9" s="152">
        <v>8</v>
      </c>
      <c r="B9" s="132" t="s">
        <v>2375</v>
      </c>
    </row>
    <row r="10" spans="1:2">
      <c r="A10" s="152">
        <v>9</v>
      </c>
      <c r="B10" s="132" t="s">
        <v>2376</v>
      </c>
    </row>
    <row r="11" spans="1:2">
      <c r="A11" s="152">
        <v>10</v>
      </c>
      <c r="B11" s="132" t="s">
        <v>2377</v>
      </c>
    </row>
    <row r="12" spans="1:2">
      <c r="A12" s="152">
        <v>96</v>
      </c>
      <c r="B12" s="132" t="s">
        <v>752</v>
      </c>
    </row>
    <row r="13" spans="1:2">
      <c r="A13" s="152">
        <v>-2</v>
      </c>
      <c r="B13" s="132" t="s">
        <v>1296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7"/>
  <sheetViews>
    <sheetView workbookViewId="0">
      <selection activeCell="D3" sqref="D3"/>
    </sheetView>
  </sheetViews>
  <sheetFormatPr baseColWidth="10" defaultColWidth="8.83203125" defaultRowHeight="13"/>
  <cols>
    <col min="1" max="1" width="14.83203125" style="153" customWidth="1"/>
    <col min="2" max="2" width="52" style="153" bestFit="1" customWidth="1"/>
    <col min="3" max="3" width="8.83203125" style="153"/>
    <col min="4" max="4" width="30" style="153" customWidth="1"/>
    <col min="5" max="16384" width="8.83203125" style="153"/>
  </cols>
  <sheetData>
    <row r="1" spans="1:4">
      <c r="A1" s="150" t="s">
        <v>2357</v>
      </c>
      <c r="B1" s="151" t="s">
        <v>2358</v>
      </c>
    </row>
    <row r="2" spans="1:4">
      <c r="A2" s="152">
        <v>1</v>
      </c>
      <c r="B2" s="148" t="s">
        <v>2378</v>
      </c>
    </row>
    <row r="3" spans="1:4" ht="14">
      <c r="A3" s="152">
        <v>2</v>
      </c>
      <c r="B3" s="154" t="s">
        <v>2379</v>
      </c>
      <c r="D3" s="40"/>
    </row>
    <row r="4" spans="1:4" ht="12.75" customHeight="1">
      <c r="A4" s="152">
        <v>3</v>
      </c>
      <c r="B4" s="154" t="s">
        <v>2380</v>
      </c>
    </row>
    <row r="5" spans="1:4">
      <c r="A5" s="152">
        <v>4</v>
      </c>
      <c r="B5" s="154" t="s">
        <v>2381</v>
      </c>
    </row>
    <row r="6" spans="1:4" ht="12.75" customHeight="1">
      <c r="A6" s="152">
        <v>5</v>
      </c>
      <c r="B6" s="154" t="s">
        <v>2382</v>
      </c>
    </row>
    <row r="7" spans="1:4">
      <c r="A7" s="152">
        <v>6</v>
      </c>
      <c r="B7" s="154" t="s">
        <v>2383</v>
      </c>
    </row>
    <row r="8" spans="1:4" ht="12.75" customHeight="1">
      <c r="A8" s="152">
        <v>7</v>
      </c>
      <c r="B8" s="154" t="s">
        <v>2384</v>
      </c>
    </row>
    <row r="9" spans="1:4">
      <c r="A9" s="152">
        <v>8</v>
      </c>
      <c r="B9" s="154" t="s">
        <v>2385</v>
      </c>
    </row>
    <row r="10" spans="1:4">
      <c r="A10" s="152">
        <v>9</v>
      </c>
      <c r="B10" s="154" t="s">
        <v>2386</v>
      </c>
    </row>
    <row r="11" spans="1:4">
      <c r="A11" s="152">
        <v>10</v>
      </c>
      <c r="B11" s="154" t="s">
        <v>2387</v>
      </c>
    </row>
    <row r="12" spans="1:4" ht="12.75" customHeight="1">
      <c r="A12" s="152">
        <v>11</v>
      </c>
      <c r="B12" s="154" t="s">
        <v>2388</v>
      </c>
    </row>
    <row r="13" spans="1:4">
      <c r="A13" s="152">
        <v>12</v>
      </c>
      <c r="B13" s="154" t="s">
        <v>2389</v>
      </c>
    </row>
    <row r="14" spans="1:4">
      <c r="A14" s="152">
        <v>96</v>
      </c>
      <c r="B14" s="154" t="s">
        <v>752</v>
      </c>
    </row>
    <row r="15" spans="1:4">
      <c r="A15" s="152">
        <v>-3</v>
      </c>
      <c r="B15" s="148" t="s">
        <v>753</v>
      </c>
    </row>
    <row r="16" spans="1:4">
      <c r="A16" s="152"/>
      <c r="B16" s="154"/>
    </row>
    <row r="17" spans="1:2">
      <c r="A17" s="152"/>
      <c r="B17" s="132"/>
    </row>
  </sheetData>
  <pageMargins left="0.7" right="0.7" top="0.75" bottom="0.75" header="0.3" footer="0.3"/>
  <pageSetup orientation="portrait"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380"/>
  <sheetViews>
    <sheetView topLeftCell="A16" workbookViewId="0">
      <selection activeCell="F44" sqref="F44:F47"/>
    </sheetView>
  </sheetViews>
  <sheetFormatPr baseColWidth="10" defaultColWidth="8.83203125" defaultRowHeight="15"/>
  <cols>
    <col min="1" max="1" width="12.5" bestFit="1" customWidth="1"/>
    <col min="2" max="2" width="9.1640625" style="38"/>
    <col min="6" max="6" width="9.1640625" style="38"/>
  </cols>
  <sheetData>
    <row r="1" spans="1:6">
      <c r="A1" t="s">
        <v>2390</v>
      </c>
      <c r="B1" s="174" t="s">
        <v>2391</v>
      </c>
      <c r="E1" t="s">
        <v>2392</v>
      </c>
      <c r="F1" s="174" t="s">
        <v>2393</v>
      </c>
    </row>
    <row r="2" spans="1:6">
      <c r="A2" s="5" t="s">
        <v>2394</v>
      </c>
      <c r="B2" s="38" t="str">
        <f>"BI"&amp;A2</f>
        <v>BIE1A</v>
      </c>
      <c r="E2" s="5" t="s">
        <v>2395</v>
      </c>
      <c r="F2" s="38" t="str">
        <f>"O"&amp;E2</f>
        <v>OFS1.1</v>
      </c>
    </row>
    <row r="3" spans="1:6">
      <c r="A3" s="5" t="s">
        <v>2396</v>
      </c>
      <c r="B3" s="38" t="str">
        <f t="shared" ref="B3:B66" si="0">"BI"&amp;A3</f>
        <v>BIE1B</v>
      </c>
      <c r="E3" s="5" t="s">
        <v>2397</v>
      </c>
      <c r="F3" s="38" t="str">
        <f t="shared" ref="F3:F47" si="1">"O"&amp;E3</f>
        <v>OFS1.2</v>
      </c>
    </row>
    <row r="4" spans="1:6">
      <c r="A4" s="5" t="s">
        <v>2398</v>
      </c>
      <c r="B4" s="38" t="str">
        <f t="shared" si="0"/>
        <v>BIE1C</v>
      </c>
      <c r="E4" s="5" t="s">
        <v>2399</v>
      </c>
      <c r="F4" s="38" t="str">
        <f t="shared" si="1"/>
        <v>OFS1.3</v>
      </c>
    </row>
    <row r="5" spans="1:6">
      <c r="A5" s="5" t="s">
        <v>2400</v>
      </c>
      <c r="B5" s="38" t="str">
        <f t="shared" si="0"/>
        <v>BIE1D</v>
      </c>
      <c r="E5" s="5" t="s">
        <v>2401</v>
      </c>
      <c r="F5" s="38" t="str">
        <f t="shared" si="1"/>
        <v>OFS1.4</v>
      </c>
    </row>
    <row r="6" spans="1:6">
      <c r="A6" s="5" t="s">
        <v>2402</v>
      </c>
      <c r="B6" s="38" t="str">
        <f t="shared" si="0"/>
        <v>BIE1V</v>
      </c>
      <c r="E6" s="5" t="s">
        <v>2403</v>
      </c>
      <c r="F6" s="38" t="str">
        <f t="shared" si="1"/>
        <v>OFS1.5</v>
      </c>
    </row>
    <row r="7" spans="1:6">
      <c r="A7" s="5" t="s">
        <v>2404</v>
      </c>
      <c r="B7" s="38" t="str">
        <f t="shared" si="0"/>
        <v>BIE1V.other</v>
      </c>
      <c r="E7" s="5" t="s">
        <v>2405</v>
      </c>
      <c r="F7" s="38" t="str">
        <f t="shared" si="1"/>
        <v>OFS1.6</v>
      </c>
    </row>
    <row r="8" spans="1:6">
      <c r="A8" s="5" t="s">
        <v>2406</v>
      </c>
      <c r="B8" s="38" t="str">
        <f t="shared" si="0"/>
        <v>BIE2A.A</v>
      </c>
      <c r="E8" s="5" t="s">
        <v>2407</v>
      </c>
      <c r="F8" s="38" t="str">
        <f t="shared" si="1"/>
        <v>OFS2</v>
      </c>
    </row>
    <row r="9" spans="1:6">
      <c r="A9" s="5" t="s">
        <v>2408</v>
      </c>
      <c r="B9" s="38" t="str">
        <f t="shared" si="0"/>
        <v>BIE2A.B</v>
      </c>
      <c r="E9" s="5" t="s">
        <v>2409</v>
      </c>
      <c r="F9" s="38" t="str">
        <f t="shared" si="1"/>
        <v>OFS3</v>
      </c>
    </row>
    <row r="10" spans="1:6">
      <c r="A10" s="5" t="s">
        <v>2410</v>
      </c>
      <c r="B10" s="38" t="str">
        <f t="shared" si="0"/>
        <v>BIE2A.C</v>
      </c>
      <c r="E10" s="22" t="s">
        <v>2411</v>
      </c>
      <c r="F10" s="38" t="str">
        <f t="shared" si="1"/>
        <v>OFS4</v>
      </c>
    </row>
    <row r="11" spans="1:6">
      <c r="A11" s="5" t="s">
        <v>2412</v>
      </c>
      <c r="B11" s="38" t="str">
        <f t="shared" si="0"/>
        <v>BIE2A.D</v>
      </c>
      <c r="E11" s="22" t="s">
        <v>2413</v>
      </c>
      <c r="F11" s="38" t="str">
        <f t="shared" si="1"/>
        <v>OFS4A</v>
      </c>
    </row>
    <row r="12" spans="1:6">
      <c r="A12" s="5" t="s">
        <v>2414</v>
      </c>
      <c r="B12" s="38" t="str">
        <f t="shared" si="0"/>
        <v>BIE2A.E</v>
      </c>
      <c r="E12" s="5" t="s">
        <v>2415</v>
      </c>
      <c r="F12" s="38" t="str">
        <f t="shared" si="1"/>
        <v>OFS5</v>
      </c>
    </row>
    <row r="13" spans="1:6">
      <c r="A13" s="5" t="s">
        <v>2416</v>
      </c>
      <c r="B13" s="38" t="str">
        <f t="shared" si="0"/>
        <v>BIE2A.F</v>
      </c>
      <c r="E13" s="5" t="s">
        <v>2417</v>
      </c>
      <c r="F13" s="38" t="str">
        <f t="shared" si="1"/>
        <v>OFS6</v>
      </c>
    </row>
    <row r="14" spans="1:6">
      <c r="A14" s="5" t="s">
        <v>2418</v>
      </c>
      <c r="B14" s="38" t="str">
        <f t="shared" si="0"/>
        <v>BIE2A.G</v>
      </c>
      <c r="E14" s="5" t="s">
        <v>2419</v>
      </c>
      <c r="F14" s="38" t="str">
        <f t="shared" si="1"/>
        <v>OFS7</v>
      </c>
    </row>
    <row r="15" spans="1:6">
      <c r="A15" s="5" t="s">
        <v>2420</v>
      </c>
      <c r="B15" s="38" t="str">
        <f t="shared" si="0"/>
        <v>BIE2A.H</v>
      </c>
      <c r="E15" s="5" t="s">
        <v>2421</v>
      </c>
      <c r="F15" s="38" t="str">
        <f t="shared" si="1"/>
        <v>OFS8</v>
      </c>
    </row>
    <row r="16" spans="1:6">
      <c r="A16" s="5" t="s">
        <v>2422</v>
      </c>
      <c r="B16" s="38" t="str">
        <f t="shared" si="0"/>
        <v>BIE2A.I</v>
      </c>
    </row>
    <row r="17" spans="1:6">
      <c r="A17" s="5" t="s">
        <v>2423</v>
      </c>
      <c r="B17" s="38" t="str">
        <f t="shared" si="0"/>
        <v>BIE2A.J</v>
      </c>
      <c r="E17" s="5" t="s">
        <v>2424</v>
      </c>
      <c r="F17" s="38" t="str">
        <f t="shared" si="1"/>
        <v>OFM1</v>
      </c>
    </row>
    <row r="18" spans="1:6">
      <c r="A18" s="5" t="s">
        <v>2425</v>
      </c>
      <c r="B18" s="38" t="str">
        <f t="shared" si="0"/>
        <v>BIE2A.K</v>
      </c>
      <c r="E18" s="5" t="s">
        <v>2426</v>
      </c>
      <c r="F18" s="38" t="str">
        <f t="shared" si="1"/>
        <v>OFM2</v>
      </c>
    </row>
    <row r="19" spans="1:6">
      <c r="A19" s="5" t="s">
        <v>2427</v>
      </c>
      <c r="B19" s="38" t="str">
        <f t="shared" si="0"/>
        <v>BIE2A.L</v>
      </c>
      <c r="E19" s="5" t="s">
        <v>2428</v>
      </c>
      <c r="F19" s="38" t="str">
        <f t="shared" si="1"/>
        <v>OFM2.other</v>
      </c>
    </row>
    <row r="20" spans="1:6">
      <c r="A20" s="5" t="s">
        <v>2429</v>
      </c>
      <c r="B20" s="38" t="str">
        <f t="shared" si="0"/>
        <v>BIE2A.V</v>
      </c>
      <c r="E20" s="5" t="s">
        <v>2430</v>
      </c>
      <c r="F20" s="38" t="str">
        <f t="shared" si="1"/>
        <v>OFM3</v>
      </c>
    </row>
    <row r="21" spans="1:6">
      <c r="A21" s="5" t="s">
        <v>2431</v>
      </c>
      <c r="B21" s="38" t="str">
        <f t="shared" si="0"/>
        <v>BIE2AV.other</v>
      </c>
    </row>
    <row r="22" spans="1:6">
      <c r="A22" s="5" t="s">
        <v>2432</v>
      </c>
      <c r="B22" s="38" t="str">
        <f t="shared" si="0"/>
        <v>BIE2B.A</v>
      </c>
      <c r="E22" s="5" t="s">
        <v>2433</v>
      </c>
      <c r="F22" s="38" t="str">
        <f t="shared" si="1"/>
        <v>OFM4</v>
      </c>
    </row>
    <row r="23" spans="1:6">
      <c r="A23" s="5" t="s">
        <v>2434</v>
      </c>
      <c r="B23" s="38" t="str">
        <f t="shared" si="0"/>
        <v>BIE2B.B</v>
      </c>
      <c r="E23" s="5" t="s">
        <v>2435</v>
      </c>
      <c r="F23" s="38" t="str">
        <f t="shared" si="1"/>
        <v>OFM5</v>
      </c>
    </row>
    <row r="24" spans="1:6">
      <c r="A24" s="5" t="s">
        <v>2436</v>
      </c>
      <c r="B24" s="38" t="str">
        <f t="shared" si="0"/>
        <v>BIE2B.C</v>
      </c>
      <c r="E24" s="5" t="s">
        <v>2437</v>
      </c>
      <c r="F24" s="38" t="str">
        <f t="shared" si="1"/>
        <v>OFM6</v>
      </c>
    </row>
    <row r="25" spans="1:6">
      <c r="A25" s="5" t="s">
        <v>2438</v>
      </c>
      <c r="B25" s="38" t="str">
        <f t="shared" si="0"/>
        <v>BIE2B.D</v>
      </c>
    </row>
    <row r="26" spans="1:6">
      <c r="A26" s="5" t="s">
        <v>2439</v>
      </c>
      <c r="B26" s="38" t="str">
        <f t="shared" si="0"/>
        <v>BIE2B.E</v>
      </c>
      <c r="E26" s="5" t="s">
        <v>2440</v>
      </c>
      <c r="F26" s="38" t="str">
        <f t="shared" si="1"/>
        <v>OFM7</v>
      </c>
    </row>
    <row r="27" spans="1:6">
      <c r="A27" s="5" t="s">
        <v>2441</v>
      </c>
      <c r="B27" s="38" t="str">
        <f t="shared" si="0"/>
        <v>BIE2B.F</v>
      </c>
      <c r="E27" s="30" t="s">
        <v>2442</v>
      </c>
      <c r="F27" s="38" t="str">
        <f t="shared" si="1"/>
        <v>OFM8</v>
      </c>
    </row>
    <row r="28" spans="1:6">
      <c r="A28" s="5" t="s">
        <v>2443</v>
      </c>
      <c r="B28" s="38" t="str">
        <f t="shared" si="0"/>
        <v>BIE2B.G</v>
      </c>
      <c r="E28" s="30" t="s">
        <v>2444</v>
      </c>
      <c r="F28" s="38" t="str">
        <f t="shared" si="1"/>
        <v>OFM9</v>
      </c>
    </row>
    <row r="29" spans="1:6">
      <c r="A29" s="5" t="s">
        <v>2445</v>
      </c>
      <c r="B29" s="38" t="str">
        <f t="shared" si="0"/>
        <v>BIE2B.H</v>
      </c>
    </row>
    <row r="30" spans="1:6">
      <c r="A30" s="5" t="s">
        <v>2446</v>
      </c>
      <c r="B30" s="38" t="str">
        <f t="shared" si="0"/>
        <v>BIE2B.I</v>
      </c>
      <c r="E30" s="5" t="s">
        <v>2447</v>
      </c>
      <c r="F30" s="38" t="str">
        <f t="shared" si="1"/>
        <v>OFM10</v>
      </c>
    </row>
    <row r="31" spans="1:6">
      <c r="A31" s="5" t="s">
        <v>2448</v>
      </c>
      <c r="B31" s="38" t="str">
        <f t="shared" si="0"/>
        <v>BIE2B.J</v>
      </c>
      <c r="E31" s="5" t="s">
        <v>2449</v>
      </c>
      <c r="F31" s="38" t="str">
        <f t="shared" si="1"/>
        <v>OFM11.1</v>
      </c>
    </row>
    <row r="32" spans="1:6">
      <c r="A32" s="5" t="s">
        <v>2450</v>
      </c>
      <c r="B32" s="38" t="str">
        <f t="shared" si="0"/>
        <v>BIE2B.K</v>
      </c>
      <c r="E32" s="5" t="s">
        <v>2451</v>
      </c>
      <c r="F32" s="38" t="str">
        <f t="shared" si="1"/>
        <v>OFM11.2</v>
      </c>
    </row>
    <row r="33" spans="1:6">
      <c r="A33" s="5" t="s">
        <v>2452</v>
      </c>
      <c r="B33" s="38" t="str">
        <f t="shared" si="0"/>
        <v>BIE2B.L</v>
      </c>
      <c r="E33" s="5" t="s">
        <v>2453</v>
      </c>
      <c r="F33" s="38" t="str">
        <f t="shared" si="1"/>
        <v>OFM11.3</v>
      </c>
    </row>
    <row r="34" spans="1:6">
      <c r="A34" s="5" t="s">
        <v>2454</v>
      </c>
      <c r="B34" s="38" t="str">
        <f t="shared" si="0"/>
        <v>BIE2B.V</v>
      </c>
      <c r="E34" s="5" t="s">
        <v>2455</v>
      </c>
      <c r="F34" s="38" t="str">
        <f t="shared" si="1"/>
        <v>OFM11.4</v>
      </c>
    </row>
    <row r="35" spans="1:6">
      <c r="A35" s="5" t="s">
        <v>2456</v>
      </c>
      <c r="B35" s="38" t="str">
        <f t="shared" si="0"/>
        <v>BIE2B.V.other</v>
      </c>
      <c r="E35" s="5" t="s">
        <v>2457</v>
      </c>
      <c r="F35" s="38" t="str">
        <f t="shared" si="1"/>
        <v>OFM11.5</v>
      </c>
    </row>
    <row r="36" spans="1:6">
      <c r="A36" s="5" t="s">
        <v>2458</v>
      </c>
      <c r="B36" s="38" t="str">
        <f t="shared" si="0"/>
        <v>BIE2C.A</v>
      </c>
      <c r="E36" s="5" t="s">
        <v>2459</v>
      </c>
      <c r="F36" s="38" t="str">
        <f t="shared" si="1"/>
        <v>OFM11.6</v>
      </c>
    </row>
    <row r="37" spans="1:6">
      <c r="A37" s="5" t="s">
        <v>2460</v>
      </c>
      <c r="B37" s="38" t="str">
        <f t="shared" si="0"/>
        <v>BIE2C.B</v>
      </c>
      <c r="E37" s="5" t="s">
        <v>2461</v>
      </c>
      <c r="F37" s="38" t="str">
        <f t="shared" si="1"/>
        <v>OFM11.7</v>
      </c>
    </row>
    <row r="38" spans="1:6">
      <c r="A38" s="5" t="s">
        <v>2462</v>
      </c>
      <c r="B38" s="38" t="str">
        <f t="shared" si="0"/>
        <v>BIE2C.C</v>
      </c>
      <c r="E38" s="5" t="s">
        <v>2463</v>
      </c>
      <c r="F38" s="38" t="str">
        <f t="shared" si="1"/>
        <v>OFM11.8</v>
      </c>
    </row>
    <row r="39" spans="1:6">
      <c r="A39" s="5" t="s">
        <v>2464</v>
      </c>
      <c r="B39" s="38" t="str">
        <f t="shared" si="0"/>
        <v>BIE2C.D</v>
      </c>
      <c r="E39" s="5" t="s">
        <v>2465</v>
      </c>
      <c r="F39" s="38" t="str">
        <f t="shared" si="1"/>
        <v>OFM11.9</v>
      </c>
    </row>
    <row r="40" spans="1:6">
      <c r="A40" s="5" t="s">
        <v>2466</v>
      </c>
      <c r="B40" s="38" t="str">
        <f t="shared" si="0"/>
        <v>BIE2C.E</v>
      </c>
      <c r="E40" s="5" t="s">
        <v>2467</v>
      </c>
      <c r="F40" s="38" t="str">
        <f t="shared" si="1"/>
        <v>OFM11.10</v>
      </c>
    </row>
    <row r="41" spans="1:6">
      <c r="A41" s="5" t="s">
        <v>2468</v>
      </c>
      <c r="B41" s="38" t="str">
        <f t="shared" si="0"/>
        <v>BIE2C.F</v>
      </c>
      <c r="E41" s="5" t="s">
        <v>2469</v>
      </c>
      <c r="F41" s="38" t="str">
        <f t="shared" si="1"/>
        <v>OFM11.11</v>
      </c>
    </row>
    <row r="42" spans="1:6">
      <c r="A42" s="5" t="s">
        <v>2470</v>
      </c>
      <c r="B42" s="38" t="str">
        <f t="shared" si="0"/>
        <v>BIE2C.G</v>
      </c>
      <c r="E42" s="5" t="s">
        <v>2471</v>
      </c>
      <c r="F42" s="38" t="str">
        <f t="shared" si="1"/>
        <v>OFM11.12</v>
      </c>
    </row>
    <row r="43" spans="1:6">
      <c r="A43" s="5" t="s">
        <v>2472</v>
      </c>
      <c r="B43" s="38" t="str">
        <f t="shared" si="0"/>
        <v>BIE2C.H</v>
      </c>
    </row>
    <row r="44" spans="1:6">
      <c r="A44" s="5" t="s">
        <v>2473</v>
      </c>
      <c r="B44" s="38" t="str">
        <f t="shared" si="0"/>
        <v>BIE2C.I</v>
      </c>
      <c r="E44" s="5" t="s">
        <v>2474</v>
      </c>
      <c r="F44" s="38" t="str">
        <f t="shared" si="1"/>
        <v>OFM12</v>
      </c>
    </row>
    <row r="45" spans="1:6">
      <c r="A45" s="5" t="s">
        <v>2475</v>
      </c>
      <c r="B45" s="38" t="str">
        <f t="shared" si="0"/>
        <v>BIE2C.J</v>
      </c>
      <c r="E45" s="5" t="s">
        <v>2476</v>
      </c>
      <c r="F45" s="38" t="str">
        <f t="shared" si="1"/>
        <v>OFM13</v>
      </c>
    </row>
    <row r="46" spans="1:6">
      <c r="A46" s="5" t="s">
        <v>2477</v>
      </c>
      <c r="B46" s="38" t="str">
        <f t="shared" si="0"/>
        <v>BIE2C.K</v>
      </c>
      <c r="E46" s="5" t="s">
        <v>2478</v>
      </c>
      <c r="F46" s="38" t="str">
        <f t="shared" si="1"/>
        <v>OFM14</v>
      </c>
    </row>
    <row r="47" spans="1:6">
      <c r="A47" s="5" t="s">
        <v>2479</v>
      </c>
      <c r="B47" s="38" t="str">
        <f t="shared" si="0"/>
        <v>BIE2C.L</v>
      </c>
      <c r="E47" s="5" t="s">
        <v>2480</v>
      </c>
      <c r="F47" s="38" t="str">
        <f t="shared" si="1"/>
        <v>OFM15</v>
      </c>
    </row>
    <row r="48" spans="1:6">
      <c r="A48" s="5" t="s">
        <v>2481</v>
      </c>
      <c r="B48" s="38" t="str">
        <f t="shared" si="0"/>
        <v>BIE2C.V</v>
      </c>
    </row>
    <row r="49" spans="1:5">
      <c r="A49" s="5" t="s">
        <v>2482</v>
      </c>
      <c r="B49" s="38" t="str">
        <f t="shared" si="0"/>
        <v>BIE2C.V.other</v>
      </c>
      <c r="E49" s="5"/>
    </row>
    <row r="50" spans="1:5">
      <c r="A50" s="5" t="s">
        <v>2483</v>
      </c>
      <c r="B50" s="38" t="str">
        <f t="shared" si="0"/>
        <v>BIE2D.A</v>
      </c>
      <c r="E50" s="5"/>
    </row>
    <row r="51" spans="1:5">
      <c r="A51" s="5" t="s">
        <v>2484</v>
      </c>
      <c r="B51" s="38" t="str">
        <f t="shared" si="0"/>
        <v>BIE2D.B</v>
      </c>
      <c r="E51" s="5"/>
    </row>
    <row r="52" spans="1:5">
      <c r="A52" s="5" t="s">
        <v>2485</v>
      </c>
      <c r="B52" s="38" t="str">
        <f t="shared" si="0"/>
        <v>BIE2D.C</v>
      </c>
      <c r="E52" s="5"/>
    </row>
    <row r="53" spans="1:5">
      <c r="A53" s="5" t="s">
        <v>2486</v>
      </c>
      <c r="B53" s="38" t="str">
        <f t="shared" si="0"/>
        <v>BIE2D.D</v>
      </c>
      <c r="E53" s="5"/>
    </row>
    <row r="54" spans="1:5">
      <c r="A54" s="5" t="s">
        <v>2487</v>
      </c>
      <c r="B54" s="38" t="str">
        <f t="shared" si="0"/>
        <v>BIE2D.E</v>
      </c>
      <c r="E54" s="5"/>
    </row>
    <row r="55" spans="1:5">
      <c r="A55" s="5" t="s">
        <v>2488</v>
      </c>
      <c r="B55" s="38" t="str">
        <f t="shared" si="0"/>
        <v>BIE2D.F</v>
      </c>
      <c r="E55" s="5"/>
    </row>
    <row r="56" spans="1:5">
      <c r="A56" s="5" t="s">
        <v>2489</v>
      </c>
      <c r="B56" s="38" t="str">
        <f t="shared" si="0"/>
        <v>BIE2D.G</v>
      </c>
      <c r="E56" s="5"/>
    </row>
    <row r="57" spans="1:5">
      <c r="A57" s="5" t="s">
        <v>2490</v>
      </c>
      <c r="B57" s="38" t="str">
        <f t="shared" si="0"/>
        <v>BIE2D.H</v>
      </c>
      <c r="E57" s="5"/>
    </row>
    <row r="58" spans="1:5">
      <c r="A58" s="5" t="s">
        <v>2491</v>
      </c>
      <c r="B58" s="38" t="str">
        <f t="shared" si="0"/>
        <v>BIE2D.I</v>
      </c>
    </row>
    <row r="59" spans="1:5">
      <c r="A59" s="5" t="s">
        <v>2492</v>
      </c>
      <c r="B59" s="38" t="str">
        <f t="shared" si="0"/>
        <v>BIE2D.J</v>
      </c>
      <c r="E59" s="76"/>
    </row>
    <row r="60" spans="1:5">
      <c r="A60" s="5" t="s">
        <v>2493</v>
      </c>
      <c r="B60" s="38" t="str">
        <f t="shared" si="0"/>
        <v>BIE2D.K</v>
      </c>
      <c r="E60" s="76"/>
    </row>
    <row r="61" spans="1:5">
      <c r="A61" s="5" t="s">
        <v>2494</v>
      </c>
      <c r="B61" s="38" t="str">
        <f t="shared" si="0"/>
        <v>BIE2D.L</v>
      </c>
      <c r="E61" s="76"/>
    </row>
    <row r="62" spans="1:5">
      <c r="A62" s="5" t="s">
        <v>2495</v>
      </c>
      <c r="B62" s="38" t="str">
        <f t="shared" si="0"/>
        <v>BIE2D.V</v>
      </c>
      <c r="E62" s="76"/>
    </row>
    <row r="63" spans="1:5">
      <c r="A63" s="5" t="s">
        <v>2496</v>
      </c>
      <c r="B63" s="38" t="str">
        <f t="shared" si="0"/>
        <v>BIE2D.V.other</v>
      </c>
      <c r="E63" s="76"/>
    </row>
    <row r="64" spans="1:5">
      <c r="A64" s="5" t="s">
        <v>2497</v>
      </c>
      <c r="B64" s="38" t="str">
        <f t="shared" si="0"/>
        <v>BIE2V.A</v>
      </c>
      <c r="E64" s="76"/>
    </row>
    <row r="65" spans="1:5">
      <c r="A65" s="5" t="s">
        <v>2498</v>
      </c>
      <c r="B65" s="38" t="str">
        <f t="shared" si="0"/>
        <v>BIE2V.B</v>
      </c>
      <c r="E65" s="76"/>
    </row>
    <row r="66" spans="1:5">
      <c r="A66" s="5" t="s">
        <v>2499</v>
      </c>
      <c r="B66" s="38" t="str">
        <f t="shared" si="0"/>
        <v>BIE2V.C</v>
      </c>
      <c r="E66" s="76"/>
    </row>
    <row r="67" spans="1:5">
      <c r="A67" s="5" t="s">
        <v>2500</v>
      </c>
      <c r="B67" s="38" t="str">
        <f t="shared" ref="B67:B130" si="2">"BI"&amp;A67</f>
        <v>BIE2V.D</v>
      </c>
      <c r="E67" s="76"/>
    </row>
    <row r="68" spans="1:5">
      <c r="A68" s="5" t="s">
        <v>2501</v>
      </c>
      <c r="B68" s="38" t="str">
        <f t="shared" si="2"/>
        <v>BIE2V.V</v>
      </c>
      <c r="E68" s="76"/>
    </row>
    <row r="69" spans="1:5">
      <c r="A69" s="5" t="s">
        <v>2502</v>
      </c>
      <c r="B69" s="38" t="str">
        <f t="shared" si="2"/>
        <v>BIE2V.F</v>
      </c>
      <c r="E69" s="76"/>
    </row>
    <row r="70" spans="1:5">
      <c r="A70" s="5" t="s">
        <v>2503</v>
      </c>
      <c r="B70" s="38" t="str">
        <f t="shared" si="2"/>
        <v>BIE2V.G</v>
      </c>
      <c r="E70" s="76"/>
    </row>
    <row r="71" spans="1:5">
      <c r="A71" s="5" t="s">
        <v>2504</v>
      </c>
      <c r="B71" s="38" t="str">
        <f t="shared" si="2"/>
        <v>BIE2V.H</v>
      </c>
      <c r="E71" s="157"/>
    </row>
    <row r="72" spans="1:5">
      <c r="A72" s="5" t="s">
        <v>2505</v>
      </c>
      <c r="B72" s="38" t="str">
        <f t="shared" si="2"/>
        <v>BIE2V.I</v>
      </c>
    </row>
    <row r="73" spans="1:5">
      <c r="A73" s="5" t="s">
        <v>2506</v>
      </c>
      <c r="B73" s="38" t="str">
        <f t="shared" si="2"/>
        <v>BIE2V.J</v>
      </c>
      <c r="E73" s="76"/>
    </row>
    <row r="74" spans="1:5">
      <c r="A74" s="5" t="s">
        <v>2507</v>
      </c>
      <c r="B74" s="38" t="str">
        <f t="shared" si="2"/>
        <v>BIE2V.K</v>
      </c>
      <c r="E74" s="76"/>
    </row>
    <row r="75" spans="1:5">
      <c r="A75" s="5" t="s">
        <v>2508</v>
      </c>
      <c r="B75" s="38" t="str">
        <f t="shared" si="2"/>
        <v>BIE2V.L</v>
      </c>
      <c r="E75" s="76"/>
    </row>
    <row r="76" spans="1:5">
      <c r="A76" s="5" t="s">
        <v>2501</v>
      </c>
      <c r="B76" s="38" t="str">
        <f t="shared" si="2"/>
        <v>BIE2V.V</v>
      </c>
      <c r="E76" s="76"/>
    </row>
    <row r="77" spans="1:5">
      <c r="A77" s="5" t="s">
        <v>2509</v>
      </c>
      <c r="B77" s="38" t="str">
        <f t="shared" si="2"/>
        <v>BIE2V.V.other</v>
      </c>
      <c r="E77" s="76"/>
    </row>
    <row r="78" spans="1:5">
      <c r="A78" s="5" t="s">
        <v>2510</v>
      </c>
      <c r="B78" s="38" t="str">
        <f t="shared" si="2"/>
        <v>BIE3A</v>
      </c>
      <c r="E78" s="76"/>
    </row>
    <row r="79" spans="1:5">
      <c r="A79" s="5" t="s">
        <v>2511</v>
      </c>
      <c r="B79" s="38" t="str">
        <f t="shared" si="2"/>
        <v>BIE3B</v>
      </c>
      <c r="E79" s="76"/>
    </row>
    <row r="80" spans="1:5">
      <c r="A80" s="5" t="s">
        <v>2512</v>
      </c>
      <c r="B80" s="38" t="str">
        <f t="shared" si="2"/>
        <v>BIE3C</v>
      </c>
      <c r="E80" s="76"/>
    </row>
    <row r="81" spans="1:5">
      <c r="A81" s="5" t="s">
        <v>2513</v>
      </c>
      <c r="B81" s="38" t="str">
        <f t="shared" si="2"/>
        <v>BIE3D</v>
      </c>
      <c r="E81" s="76"/>
    </row>
    <row r="82" spans="1:5">
      <c r="A82" s="5" t="s">
        <v>2514</v>
      </c>
      <c r="B82" s="38" t="str">
        <f t="shared" si="2"/>
        <v>BIE3V</v>
      </c>
      <c r="E82" s="76"/>
    </row>
    <row r="83" spans="1:5">
      <c r="E83" s="76"/>
    </row>
    <row r="84" spans="1:5">
      <c r="A84" s="5" t="s">
        <v>2515</v>
      </c>
      <c r="B84" s="38" t="str">
        <f t="shared" si="2"/>
        <v>BIE4</v>
      </c>
      <c r="E84" s="76"/>
    </row>
    <row r="85" spans="1:5">
      <c r="A85" s="5" t="s">
        <v>2516</v>
      </c>
      <c r="B85" s="38" t="str">
        <f t="shared" si="2"/>
        <v>BIE5</v>
      </c>
      <c r="E85" s="76"/>
    </row>
    <row r="86" spans="1:5">
      <c r="A86" s="5" t="s">
        <v>2517</v>
      </c>
      <c r="B86" s="38" t="str">
        <f t="shared" si="2"/>
        <v>BIE6</v>
      </c>
      <c r="E86" s="76"/>
    </row>
    <row r="87" spans="1:5">
      <c r="A87" s="5" t="s">
        <v>758</v>
      </c>
      <c r="B87" s="38" t="str">
        <f t="shared" si="2"/>
        <v>BIE7A</v>
      </c>
      <c r="E87" s="76"/>
    </row>
    <row r="88" spans="1:5">
      <c r="A88" s="5" t="s">
        <v>2518</v>
      </c>
      <c r="B88" s="38" t="str">
        <f t="shared" si="2"/>
        <v>BIE7B</v>
      </c>
      <c r="E88" s="76"/>
    </row>
    <row r="89" spans="1:5">
      <c r="A89" s="5" t="s">
        <v>2519</v>
      </c>
      <c r="B89" s="38" t="str">
        <f t="shared" si="2"/>
        <v>BIE7C</v>
      </c>
      <c r="E89" s="76"/>
    </row>
    <row r="90" spans="1:5">
      <c r="A90" s="5" t="s">
        <v>2520</v>
      </c>
      <c r="B90" s="38" t="str">
        <f t="shared" si="2"/>
        <v>BIE7D</v>
      </c>
      <c r="E90" s="76"/>
    </row>
    <row r="91" spans="1:5">
      <c r="A91" s="5" t="s">
        <v>2521</v>
      </c>
      <c r="B91" s="38" t="str">
        <f t="shared" si="2"/>
        <v>BIE7E</v>
      </c>
      <c r="E91" s="76"/>
    </row>
    <row r="92" spans="1:5">
      <c r="A92" s="5" t="s">
        <v>2522</v>
      </c>
      <c r="B92" s="38" t="str">
        <f t="shared" si="2"/>
        <v>BIE7F</v>
      </c>
      <c r="E92" s="76"/>
    </row>
    <row r="93" spans="1:5">
      <c r="A93" s="5" t="s">
        <v>2523</v>
      </c>
      <c r="B93" s="38" t="str">
        <f t="shared" si="2"/>
        <v>BIE7V</v>
      </c>
      <c r="E93" s="76"/>
    </row>
    <row r="94" spans="1:5">
      <c r="A94" s="5" t="s">
        <v>2524</v>
      </c>
      <c r="B94" s="38" t="str">
        <f t="shared" si="2"/>
        <v>BIE7V.other</v>
      </c>
      <c r="E94" s="76"/>
    </row>
    <row r="95" spans="1:5">
      <c r="A95" s="5" t="s">
        <v>2525</v>
      </c>
      <c r="B95" s="38" t="str">
        <f t="shared" si="2"/>
        <v>BIE8</v>
      </c>
      <c r="E95" s="76"/>
    </row>
    <row r="96" spans="1:5">
      <c r="A96" s="5" t="s">
        <v>2526</v>
      </c>
      <c r="B96" s="38" t="str">
        <f t="shared" si="2"/>
        <v>BIE9A</v>
      </c>
      <c r="E96" s="76"/>
    </row>
    <row r="97" spans="1:5">
      <c r="A97" s="5" t="s">
        <v>2527</v>
      </c>
      <c r="B97" s="38" t="str">
        <f t="shared" si="2"/>
        <v>BIE9B</v>
      </c>
      <c r="E97" s="76"/>
    </row>
    <row r="98" spans="1:5">
      <c r="A98" s="5" t="s">
        <v>2528</v>
      </c>
      <c r="B98" s="38" t="str">
        <f t="shared" si="2"/>
        <v>BIE9C</v>
      </c>
      <c r="E98" s="76"/>
    </row>
    <row r="99" spans="1:5">
      <c r="A99" s="5" t="s">
        <v>2529</v>
      </c>
      <c r="B99" s="38" t="str">
        <f t="shared" si="2"/>
        <v>BIE9V</v>
      </c>
      <c r="E99" s="76"/>
    </row>
    <row r="100" spans="1:5">
      <c r="A100" s="5" t="s">
        <v>2530</v>
      </c>
      <c r="B100" s="38" t="str">
        <f t="shared" si="2"/>
        <v>BIE9V.other</v>
      </c>
      <c r="E100" s="76"/>
    </row>
    <row r="101" spans="1:5">
      <c r="A101" s="5" t="s">
        <v>2531</v>
      </c>
      <c r="B101" s="38" t="str">
        <f t="shared" si="2"/>
        <v>BIE10A.1</v>
      </c>
      <c r="E101" s="76"/>
    </row>
    <row r="102" spans="1:5">
      <c r="A102" s="5" t="s">
        <v>2532</v>
      </c>
      <c r="B102" s="38" t="str">
        <f t="shared" si="2"/>
        <v>BIE10A.2</v>
      </c>
      <c r="E102" s="76"/>
    </row>
    <row r="103" spans="1:5">
      <c r="A103" s="5" t="s">
        <v>2533</v>
      </c>
      <c r="B103" s="38" t="str">
        <f t="shared" si="2"/>
        <v>BIE10B.1</v>
      </c>
    </row>
    <row r="104" spans="1:5">
      <c r="A104" s="5" t="s">
        <v>2534</v>
      </c>
      <c r="B104" s="38" t="str">
        <f t="shared" si="2"/>
        <v>BIE10B.2</v>
      </c>
      <c r="E104" s="76"/>
    </row>
    <row r="105" spans="1:5">
      <c r="A105" s="5" t="s">
        <v>2535</v>
      </c>
      <c r="B105" s="38" t="str">
        <f t="shared" si="2"/>
        <v>BIE10C.1</v>
      </c>
      <c r="E105" s="76"/>
    </row>
    <row r="106" spans="1:5">
      <c r="A106" s="5" t="s">
        <v>2536</v>
      </c>
      <c r="B106" s="38" t="str">
        <f t="shared" si="2"/>
        <v>BIE10C.2</v>
      </c>
      <c r="E106" s="76"/>
    </row>
    <row r="107" spans="1:5">
      <c r="A107" s="5" t="s">
        <v>2537</v>
      </c>
      <c r="B107" s="38" t="str">
        <f t="shared" si="2"/>
        <v>BIE10D.1</v>
      </c>
    </row>
    <row r="108" spans="1:5">
      <c r="A108" s="5" t="s">
        <v>2538</v>
      </c>
      <c r="B108" s="38" t="str">
        <f t="shared" si="2"/>
        <v>BIE10D.2</v>
      </c>
      <c r="E108" s="5"/>
    </row>
    <row r="109" spans="1:5">
      <c r="A109" s="5" t="s">
        <v>2539</v>
      </c>
      <c r="B109" s="38" t="str">
        <f t="shared" si="2"/>
        <v>BIE11A</v>
      </c>
      <c r="E109" s="5"/>
    </row>
    <row r="110" spans="1:5">
      <c r="A110" s="5" t="s">
        <v>2540</v>
      </c>
      <c r="B110" s="38" t="str">
        <f t="shared" si="2"/>
        <v>BIE11B</v>
      </c>
      <c r="E110" s="5"/>
    </row>
    <row r="111" spans="1:5">
      <c r="A111" s="5" t="s">
        <v>2541</v>
      </c>
      <c r="B111" s="38" t="str">
        <f t="shared" si="2"/>
        <v>BIE11C</v>
      </c>
      <c r="E111" s="5"/>
    </row>
    <row r="112" spans="1:5">
      <c r="A112" s="5" t="s">
        <v>2542</v>
      </c>
      <c r="B112" s="38" t="str">
        <f t="shared" si="2"/>
        <v>BIE11V</v>
      </c>
      <c r="E112" s="5"/>
    </row>
    <row r="113" spans="1:5">
      <c r="A113" s="5" t="s">
        <v>2543</v>
      </c>
      <c r="B113" s="38" t="str">
        <f t="shared" si="2"/>
        <v>BIE11V.other</v>
      </c>
      <c r="E113" s="128"/>
    </row>
    <row r="114" spans="1:5">
      <c r="A114" s="5" t="s">
        <v>2544</v>
      </c>
      <c r="B114" s="38" t="str">
        <f t="shared" si="2"/>
        <v>BIE12A.1</v>
      </c>
    </row>
    <row r="115" spans="1:5">
      <c r="A115" s="5" t="s">
        <v>2545</v>
      </c>
      <c r="B115" s="38" t="str">
        <f t="shared" si="2"/>
        <v>BIE12A.2</v>
      </c>
    </row>
    <row r="116" spans="1:5">
      <c r="A116" s="5" t="s">
        <v>2546</v>
      </c>
      <c r="B116" s="38" t="str">
        <f t="shared" si="2"/>
        <v>BIE12B.1</v>
      </c>
    </row>
    <row r="117" spans="1:5">
      <c r="A117" s="5" t="s">
        <v>2547</v>
      </c>
      <c r="B117" s="38" t="str">
        <f t="shared" si="2"/>
        <v>BIE12B.2</v>
      </c>
    </row>
    <row r="118" spans="1:5">
      <c r="A118" s="5" t="s">
        <v>2548</v>
      </c>
      <c r="B118" s="38" t="str">
        <f t="shared" si="2"/>
        <v>BIE12C.1</v>
      </c>
    </row>
    <row r="119" spans="1:5">
      <c r="A119" s="5" t="s">
        <v>2549</v>
      </c>
      <c r="B119" s="38" t="str">
        <f t="shared" si="2"/>
        <v>BIE12C.2</v>
      </c>
    </row>
    <row r="120" spans="1:5">
      <c r="A120" s="5" t="s">
        <v>2550</v>
      </c>
      <c r="B120" s="38" t="str">
        <f t="shared" si="2"/>
        <v>BIE12D.1</v>
      </c>
    </row>
    <row r="121" spans="1:5">
      <c r="A121" s="5" t="s">
        <v>2551</v>
      </c>
      <c r="B121" s="38" t="str">
        <f t="shared" si="2"/>
        <v>BIE12D.2</v>
      </c>
    </row>
    <row r="122" spans="1:5">
      <c r="A122" s="5" t="s">
        <v>2552</v>
      </c>
      <c r="B122" s="38" t="str">
        <f t="shared" si="2"/>
        <v>BIE13</v>
      </c>
    </row>
    <row r="123" spans="1:5">
      <c r="A123" s="5" t="s">
        <v>2553</v>
      </c>
      <c r="B123" s="38" t="str">
        <f t="shared" si="2"/>
        <v>BIE13.other</v>
      </c>
    </row>
    <row r="124" spans="1:5">
      <c r="A124" s="5" t="s">
        <v>2554</v>
      </c>
      <c r="B124" s="38" t="str">
        <f t="shared" si="2"/>
        <v>BIE14</v>
      </c>
    </row>
    <row r="125" spans="1:5">
      <c r="A125" s="5" t="s">
        <v>2555</v>
      </c>
      <c r="B125" s="38" t="str">
        <f t="shared" si="2"/>
        <v>BIE15A</v>
      </c>
    </row>
    <row r="126" spans="1:5">
      <c r="A126" s="5" t="s">
        <v>2556</v>
      </c>
      <c r="B126" s="38" t="str">
        <f t="shared" si="2"/>
        <v>BIE15B</v>
      </c>
    </row>
    <row r="127" spans="1:5">
      <c r="A127" s="5" t="s">
        <v>2557</v>
      </c>
      <c r="B127" s="38" t="str">
        <f t="shared" si="2"/>
        <v>BIE15C</v>
      </c>
    </row>
    <row r="128" spans="1:5">
      <c r="A128" s="5" t="s">
        <v>2558</v>
      </c>
      <c r="B128" s="38" t="str">
        <f t="shared" si="2"/>
        <v>BIE15D</v>
      </c>
    </row>
    <row r="129" spans="1:2">
      <c r="A129" s="5" t="s">
        <v>2559</v>
      </c>
      <c r="B129" s="38" t="str">
        <f t="shared" si="2"/>
        <v>BIE15E</v>
      </c>
    </row>
    <row r="130" spans="1:2">
      <c r="A130" s="5" t="s">
        <v>2560</v>
      </c>
      <c r="B130" s="38" t="str">
        <f t="shared" si="2"/>
        <v>BIE15F</v>
      </c>
    </row>
    <row r="131" spans="1:2">
      <c r="A131" s="5" t="s">
        <v>2561</v>
      </c>
      <c r="B131" s="38" t="str">
        <f t="shared" ref="B131:B194" si="3">"BI"&amp;A131</f>
        <v>BIE15V</v>
      </c>
    </row>
    <row r="132" spans="1:2">
      <c r="A132" s="5" t="s">
        <v>2562</v>
      </c>
      <c r="B132" s="38" t="str">
        <f t="shared" si="3"/>
        <v>BIE15V.other</v>
      </c>
    </row>
    <row r="133" spans="1:2">
      <c r="A133" s="5" t="s">
        <v>2563</v>
      </c>
      <c r="B133" s="38" t="str">
        <f t="shared" si="3"/>
        <v>BIE16A</v>
      </c>
    </row>
    <row r="134" spans="1:2">
      <c r="A134" s="5" t="s">
        <v>2564</v>
      </c>
      <c r="B134" s="38" t="str">
        <f t="shared" si="3"/>
        <v>BIE16B</v>
      </c>
    </row>
    <row r="135" spans="1:2">
      <c r="A135" s="5" t="s">
        <v>2565</v>
      </c>
      <c r="B135" s="38" t="str">
        <f t="shared" si="3"/>
        <v>BIE16C</v>
      </c>
    </row>
    <row r="136" spans="1:2">
      <c r="A136" s="5" t="s">
        <v>2566</v>
      </c>
      <c r="B136" s="38" t="str">
        <f t="shared" si="3"/>
        <v>BIE17</v>
      </c>
    </row>
    <row r="137" spans="1:2">
      <c r="A137" s="5" t="s">
        <v>2567</v>
      </c>
      <c r="B137" s="38" t="str">
        <f t="shared" si="3"/>
        <v>BIE17.other</v>
      </c>
    </row>
    <row r="138" spans="1:2">
      <c r="A138" s="5" t="s">
        <v>2568</v>
      </c>
      <c r="B138" s="38" t="str">
        <f t="shared" si="3"/>
        <v>BIE18A</v>
      </c>
    </row>
    <row r="139" spans="1:2">
      <c r="A139" s="5" t="s">
        <v>2569</v>
      </c>
      <c r="B139" s="38" t="str">
        <f t="shared" si="3"/>
        <v>BIE18B</v>
      </c>
    </row>
    <row r="140" spans="1:2">
      <c r="A140" s="5" t="s">
        <v>2570</v>
      </c>
      <c r="B140" s="38" t="str">
        <f t="shared" si="3"/>
        <v>BIE18C</v>
      </c>
    </row>
    <row r="141" spans="1:2">
      <c r="A141" s="5" t="s">
        <v>2571</v>
      </c>
      <c r="B141" s="38" t="str">
        <f t="shared" si="3"/>
        <v>BIE19A</v>
      </c>
    </row>
    <row r="142" spans="1:2">
      <c r="A142" s="5" t="s">
        <v>2572</v>
      </c>
      <c r="B142" s="38" t="str">
        <f t="shared" si="3"/>
        <v>BIE19B</v>
      </c>
    </row>
    <row r="143" spans="1:2">
      <c r="A143" s="5" t="s">
        <v>2573</v>
      </c>
      <c r="B143" s="38" t="str">
        <f t="shared" si="3"/>
        <v>BIE20</v>
      </c>
    </row>
    <row r="144" spans="1:2">
      <c r="A144" s="5" t="s">
        <v>2574</v>
      </c>
      <c r="B144" s="38" t="str">
        <f t="shared" si="3"/>
        <v>BIE21</v>
      </c>
    </row>
    <row r="145" spans="1:2">
      <c r="A145" s="5" t="s">
        <v>2575</v>
      </c>
      <c r="B145" s="38" t="str">
        <f t="shared" si="3"/>
        <v>BIE22</v>
      </c>
    </row>
    <row r="146" spans="1:2">
      <c r="A146" s="5" t="s">
        <v>2576</v>
      </c>
      <c r="B146" s="38" t="str">
        <f t="shared" si="3"/>
        <v>BIE23</v>
      </c>
    </row>
    <row r="147" spans="1:2">
      <c r="A147" s="5" t="s">
        <v>2577</v>
      </c>
      <c r="B147" s="38" t="str">
        <f t="shared" si="3"/>
        <v>BIE23.other</v>
      </c>
    </row>
    <row r="149" spans="1:2">
      <c r="A149" s="5" t="s">
        <v>2578</v>
      </c>
      <c r="B149" s="38" t="str">
        <f t="shared" si="3"/>
        <v>BIE24A</v>
      </c>
    </row>
    <row r="150" spans="1:2">
      <c r="A150" s="5" t="s">
        <v>2579</v>
      </c>
      <c r="B150" s="38" t="str">
        <f t="shared" si="3"/>
        <v>BIE24B</v>
      </c>
    </row>
    <row r="151" spans="1:2">
      <c r="A151" s="5" t="s">
        <v>2580</v>
      </c>
      <c r="B151" s="38" t="str">
        <f t="shared" si="3"/>
        <v>BIE24C</v>
      </c>
    </row>
    <row r="152" spans="1:2">
      <c r="A152" s="5" t="s">
        <v>2581</v>
      </c>
      <c r="B152" s="38" t="str">
        <f t="shared" si="3"/>
        <v>BIE25A</v>
      </c>
    </row>
    <row r="153" spans="1:2">
      <c r="A153" s="5" t="s">
        <v>2582</v>
      </c>
      <c r="B153" s="38" t="str">
        <f t="shared" si="3"/>
        <v>BIE25B</v>
      </c>
    </row>
    <row r="154" spans="1:2">
      <c r="A154" s="5" t="s">
        <v>2583</v>
      </c>
      <c r="B154" s="38" t="str">
        <f t="shared" si="3"/>
        <v>BIE25C</v>
      </c>
    </row>
    <row r="155" spans="1:2">
      <c r="A155" s="5" t="s">
        <v>2584</v>
      </c>
      <c r="B155" s="38" t="str">
        <f t="shared" si="3"/>
        <v>BIE26A</v>
      </c>
    </row>
    <row r="156" spans="1:2">
      <c r="A156" s="5" t="s">
        <v>2585</v>
      </c>
      <c r="B156" s="38" t="str">
        <f t="shared" si="3"/>
        <v>BIE26B</v>
      </c>
    </row>
    <row r="157" spans="1:2">
      <c r="A157" s="5" t="s">
        <v>2586</v>
      </c>
      <c r="B157" s="38" t="str">
        <f t="shared" si="3"/>
        <v>BIE26C</v>
      </c>
    </row>
    <row r="158" spans="1:2">
      <c r="A158" s="5" t="s">
        <v>2587</v>
      </c>
      <c r="B158" s="38" t="str">
        <f t="shared" si="3"/>
        <v>BIE27A</v>
      </c>
    </row>
    <row r="159" spans="1:2">
      <c r="A159" s="5" t="s">
        <v>2588</v>
      </c>
      <c r="B159" s="38" t="str">
        <f t="shared" si="3"/>
        <v>BIE27B</v>
      </c>
    </row>
    <row r="160" spans="1:2">
      <c r="A160" s="5" t="s">
        <v>2589</v>
      </c>
      <c r="B160" s="38" t="str">
        <f t="shared" si="3"/>
        <v>BIE27C</v>
      </c>
    </row>
    <row r="161" spans="1:2">
      <c r="A161" s="22" t="s">
        <v>2590</v>
      </c>
      <c r="B161" s="38" t="str">
        <f t="shared" si="3"/>
        <v>BIE28A.A</v>
      </c>
    </row>
    <row r="162" spans="1:2">
      <c r="A162" s="5" t="s">
        <v>2591</v>
      </c>
      <c r="B162" s="38" t="str">
        <f t="shared" si="3"/>
        <v>BIE28A.B</v>
      </c>
    </row>
    <row r="163" spans="1:2">
      <c r="A163" s="5" t="s">
        <v>2592</v>
      </c>
      <c r="B163" s="38" t="str">
        <f t="shared" si="3"/>
        <v>BIE28A.C</v>
      </c>
    </row>
    <row r="164" spans="1:2">
      <c r="A164" s="5" t="s">
        <v>2593</v>
      </c>
      <c r="B164" s="38" t="str">
        <f t="shared" si="3"/>
        <v>BIE28A.D</v>
      </c>
    </row>
    <row r="165" spans="1:2">
      <c r="A165" s="5" t="s">
        <v>2594</v>
      </c>
      <c r="B165" s="38" t="str">
        <f t="shared" si="3"/>
        <v>BIE28A.V</v>
      </c>
    </row>
    <row r="166" spans="1:2">
      <c r="A166" s="5" t="s">
        <v>2595</v>
      </c>
      <c r="B166" s="38" t="str">
        <f t="shared" si="3"/>
        <v>BIE28A.V.other</v>
      </c>
    </row>
    <row r="167" spans="1:2">
      <c r="A167" s="5" t="s">
        <v>2596</v>
      </c>
      <c r="B167" s="38" t="str">
        <f t="shared" si="3"/>
        <v>BIE28B.A</v>
      </c>
    </row>
    <row r="168" spans="1:2">
      <c r="A168" s="5" t="s">
        <v>2597</v>
      </c>
      <c r="B168" s="38" t="str">
        <f t="shared" si="3"/>
        <v>BIE28B.B</v>
      </c>
    </row>
    <row r="169" spans="1:2">
      <c r="A169" s="5" t="s">
        <v>2598</v>
      </c>
      <c r="B169" s="38" t="str">
        <f t="shared" si="3"/>
        <v>BIE28B.C</v>
      </c>
    </row>
    <row r="170" spans="1:2">
      <c r="A170" s="5" t="s">
        <v>2599</v>
      </c>
      <c r="B170" s="38" t="str">
        <f t="shared" si="3"/>
        <v>BIE28B.D</v>
      </c>
    </row>
    <row r="171" spans="1:2">
      <c r="A171" s="5" t="s">
        <v>2600</v>
      </c>
      <c r="B171" s="38" t="str">
        <f t="shared" si="3"/>
        <v>BIE28B.V</v>
      </c>
    </row>
    <row r="172" spans="1:2">
      <c r="A172" s="5" t="s">
        <v>2601</v>
      </c>
      <c r="B172" s="38" t="str">
        <f t="shared" si="3"/>
        <v>BIE28B.V.other</v>
      </c>
    </row>
    <row r="173" spans="1:2">
      <c r="A173" s="5" t="s">
        <v>2602</v>
      </c>
      <c r="B173" s="38" t="str">
        <f t="shared" si="3"/>
        <v>BIE28C.A</v>
      </c>
    </row>
    <row r="174" spans="1:2">
      <c r="A174" s="5" t="s">
        <v>2603</v>
      </c>
      <c r="B174" s="38" t="str">
        <f t="shared" si="3"/>
        <v>BIE28C.B</v>
      </c>
    </row>
    <row r="175" spans="1:2">
      <c r="A175" s="5" t="s">
        <v>2604</v>
      </c>
      <c r="B175" s="38" t="str">
        <f t="shared" si="3"/>
        <v>BIE28C.C</v>
      </c>
    </row>
    <row r="176" spans="1:2">
      <c r="A176" s="5" t="s">
        <v>2605</v>
      </c>
      <c r="B176" s="38" t="str">
        <f t="shared" si="3"/>
        <v>BIE28C.D</v>
      </c>
    </row>
    <row r="177" spans="1:2">
      <c r="A177" s="5" t="s">
        <v>2606</v>
      </c>
      <c r="B177" s="38" t="str">
        <f t="shared" si="3"/>
        <v>BIE28C.V</v>
      </c>
    </row>
    <row r="178" spans="1:2">
      <c r="A178" s="5" t="s">
        <v>2607</v>
      </c>
      <c r="B178" s="38" t="str">
        <f t="shared" si="3"/>
        <v>BIE28C.V.other</v>
      </c>
    </row>
    <row r="180" spans="1:2">
      <c r="A180" s="5" t="s">
        <v>2608</v>
      </c>
      <c r="B180" s="38" t="str">
        <f t="shared" si="3"/>
        <v>BIE29A</v>
      </c>
    </row>
    <row r="181" spans="1:2">
      <c r="A181" s="5" t="s">
        <v>2609</v>
      </c>
      <c r="B181" s="38" t="str">
        <f t="shared" si="3"/>
        <v>BIE29B</v>
      </c>
    </row>
    <row r="182" spans="1:2">
      <c r="A182" s="5" t="s">
        <v>2610</v>
      </c>
      <c r="B182" s="38" t="str">
        <f t="shared" si="3"/>
        <v>BIE29C</v>
      </c>
    </row>
    <row r="183" spans="1:2">
      <c r="A183" s="5" t="s">
        <v>2611</v>
      </c>
      <c r="B183" s="38" t="str">
        <f t="shared" si="3"/>
        <v>BIE29D</v>
      </c>
    </row>
    <row r="184" spans="1:2">
      <c r="A184" s="5" t="s">
        <v>2612</v>
      </c>
      <c r="B184" s="38" t="str">
        <f t="shared" si="3"/>
        <v>BIE29V</v>
      </c>
    </row>
    <row r="185" spans="1:2">
      <c r="A185" s="5" t="s">
        <v>2613</v>
      </c>
      <c r="B185" s="38" t="str">
        <f t="shared" si="3"/>
        <v>BIE29V.other</v>
      </c>
    </row>
    <row r="186" spans="1:2">
      <c r="A186" s="5" t="s">
        <v>2614</v>
      </c>
      <c r="B186" s="38" t="str">
        <f t="shared" si="3"/>
        <v>BIE30A</v>
      </c>
    </row>
    <row r="187" spans="1:2">
      <c r="A187" s="5" t="s">
        <v>2615</v>
      </c>
      <c r="B187" s="38" t="str">
        <f t="shared" si="3"/>
        <v>BIE30B</v>
      </c>
    </row>
    <row r="188" spans="1:2">
      <c r="A188" s="5" t="s">
        <v>2616</v>
      </c>
      <c r="B188" s="38" t="str">
        <f t="shared" si="3"/>
        <v>BIE30C</v>
      </c>
    </row>
    <row r="189" spans="1:2">
      <c r="A189" s="5" t="s">
        <v>2617</v>
      </c>
      <c r="B189" s="38" t="str">
        <f t="shared" si="3"/>
        <v>BIE30D</v>
      </c>
    </row>
    <row r="190" spans="1:2">
      <c r="A190" s="5" t="s">
        <v>2618</v>
      </c>
      <c r="B190" s="38" t="str">
        <f t="shared" si="3"/>
        <v>BIE30V</v>
      </c>
    </row>
    <row r="191" spans="1:2">
      <c r="A191" s="22" t="s">
        <v>2619</v>
      </c>
      <c r="B191" s="38" t="str">
        <f t="shared" si="3"/>
        <v>BIE31A</v>
      </c>
    </row>
    <row r="192" spans="1:2">
      <c r="A192" s="5" t="s">
        <v>2620</v>
      </c>
      <c r="B192" s="38" t="str">
        <f t="shared" si="3"/>
        <v>BIE31B</v>
      </c>
    </row>
    <row r="193" spans="1:2">
      <c r="A193" s="5" t="s">
        <v>2621</v>
      </c>
      <c r="B193" s="38" t="str">
        <f t="shared" si="3"/>
        <v>BIE31C</v>
      </c>
    </row>
    <row r="194" spans="1:2">
      <c r="A194" s="5" t="s">
        <v>2622</v>
      </c>
      <c r="B194" s="38" t="str">
        <f t="shared" si="3"/>
        <v>BIE31D</v>
      </c>
    </row>
    <row r="195" spans="1:2">
      <c r="A195" s="5" t="s">
        <v>2623</v>
      </c>
      <c r="B195" s="38" t="str">
        <f t="shared" ref="B195:B257" si="4">"BI"&amp;A195</f>
        <v>BIE31E</v>
      </c>
    </row>
    <row r="196" spans="1:2">
      <c r="A196" s="5" t="s">
        <v>2624</v>
      </c>
      <c r="B196" s="38" t="str">
        <f t="shared" si="4"/>
        <v>BIE31V</v>
      </c>
    </row>
    <row r="197" spans="1:2">
      <c r="A197" s="5" t="s">
        <v>2625</v>
      </c>
      <c r="B197" s="38" t="str">
        <f t="shared" si="4"/>
        <v>BIE31V.other</v>
      </c>
    </row>
    <row r="198" spans="1:2">
      <c r="A198" s="5" t="s">
        <v>2626</v>
      </c>
      <c r="B198" s="38" t="str">
        <f t="shared" si="4"/>
        <v>BIE32A</v>
      </c>
    </row>
    <row r="199" spans="1:2">
      <c r="A199" s="5" t="s">
        <v>2627</v>
      </c>
      <c r="B199" s="38" t="str">
        <f t="shared" si="4"/>
        <v>BIE32B</v>
      </c>
    </row>
    <row r="200" spans="1:2">
      <c r="A200" s="5" t="s">
        <v>2628</v>
      </c>
      <c r="B200" s="38" t="str">
        <f t="shared" si="4"/>
        <v>BIE32C</v>
      </c>
    </row>
    <row r="201" spans="1:2">
      <c r="A201" s="5" t="s">
        <v>2629</v>
      </c>
      <c r="B201" s="38" t="str">
        <f t="shared" si="4"/>
        <v>BIE32D</v>
      </c>
    </row>
    <row r="202" spans="1:2">
      <c r="A202" s="5" t="s">
        <v>2630</v>
      </c>
      <c r="B202" s="38" t="str">
        <f t="shared" si="4"/>
        <v>BIE32E</v>
      </c>
    </row>
    <row r="203" spans="1:2">
      <c r="A203" s="5" t="s">
        <v>2631</v>
      </c>
      <c r="B203" s="38" t="str">
        <f t="shared" si="4"/>
        <v>BIE32V</v>
      </c>
    </row>
    <row r="204" spans="1:2">
      <c r="A204" s="5" t="s">
        <v>2632</v>
      </c>
      <c r="B204" s="38" t="str">
        <f t="shared" si="4"/>
        <v>BIE33A</v>
      </c>
    </row>
    <row r="205" spans="1:2">
      <c r="A205" s="5" t="s">
        <v>2633</v>
      </c>
      <c r="B205" s="38" t="str">
        <f t="shared" si="4"/>
        <v>BIE33B</v>
      </c>
    </row>
    <row r="206" spans="1:2">
      <c r="A206" s="5" t="s">
        <v>2634</v>
      </c>
      <c r="B206" s="38" t="str">
        <f t="shared" si="4"/>
        <v>BIE33C</v>
      </c>
    </row>
    <row r="207" spans="1:2">
      <c r="A207" s="5" t="s">
        <v>2635</v>
      </c>
      <c r="B207" s="38" t="str">
        <f t="shared" si="4"/>
        <v>BIE33D</v>
      </c>
    </row>
    <row r="208" spans="1:2">
      <c r="A208" s="5" t="s">
        <v>2636</v>
      </c>
      <c r="B208" s="38" t="str">
        <f t="shared" si="4"/>
        <v>BIE33E</v>
      </c>
    </row>
    <row r="209" spans="1:2">
      <c r="A209" s="5" t="s">
        <v>2637</v>
      </c>
      <c r="B209" s="38" t="str">
        <f t="shared" si="4"/>
        <v>BIE33V</v>
      </c>
    </row>
    <row r="210" spans="1:2">
      <c r="A210" s="5" t="s">
        <v>2638</v>
      </c>
      <c r="B210" s="38" t="str">
        <f t="shared" si="4"/>
        <v>BIE33V.other</v>
      </c>
    </row>
    <row r="211" spans="1:2">
      <c r="A211" s="5" t="s">
        <v>2639</v>
      </c>
      <c r="B211" s="38" t="str">
        <f t="shared" si="4"/>
        <v>BIE34A</v>
      </c>
    </row>
    <row r="212" spans="1:2">
      <c r="A212" s="5" t="s">
        <v>2640</v>
      </c>
      <c r="B212" s="38" t="str">
        <f t="shared" si="4"/>
        <v>BIE34B</v>
      </c>
    </row>
    <row r="213" spans="1:2">
      <c r="A213" s="5" t="s">
        <v>2641</v>
      </c>
      <c r="B213" s="38" t="str">
        <f t="shared" si="4"/>
        <v>BIE34C</v>
      </c>
    </row>
    <row r="214" spans="1:2">
      <c r="A214" s="5" t="s">
        <v>2642</v>
      </c>
      <c r="B214" s="38" t="str">
        <f t="shared" si="4"/>
        <v>BIE34C.other</v>
      </c>
    </row>
    <row r="215" spans="1:2">
      <c r="A215" s="5" t="s">
        <v>2643</v>
      </c>
      <c r="B215" s="38" t="str">
        <f t="shared" si="4"/>
        <v>BIE34W</v>
      </c>
    </row>
    <row r="217" spans="1:2">
      <c r="A217" s="5" t="s">
        <v>2644</v>
      </c>
      <c r="B217" s="38" t="str">
        <f t="shared" si="4"/>
        <v>BIE35</v>
      </c>
    </row>
    <row r="218" spans="1:2">
      <c r="A218" s="5" t="s">
        <v>2645</v>
      </c>
      <c r="B218" s="38" t="str">
        <f t="shared" si="4"/>
        <v>BIE36</v>
      </c>
    </row>
    <row r="219" spans="1:2">
      <c r="A219" s="5" t="s">
        <v>2646</v>
      </c>
      <c r="B219" s="38" t="str">
        <f t="shared" si="4"/>
        <v>BIE36.other</v>
      </c>
    </row>
    <row r="220" spans="1:2">
      <c r="A220" s="5" t="s">
        <v>2647</v>
      </c>
      <c r="B220" s="38" t="str">
        <f t="shared" si="4"/>
        <v>BIE37</v>
      </c>
    </row>
    <row r="221" spans="1:2">
      <c r="A221" s="5" t="s">
        <v>2648</v>
      </c>
      <c r="B221" s="38" t="str">
        <f t="shared" si="4"/>
        <v>BIE37.other</v>
      </c>
    </row>
    <row r="222" spans="1:2">
      <c r="A222" s="5" t="s">
        <v>2649</v>
      </c>
      <c r="B222" s="38" t="str">
        <f t="shared" si="4"/>
        <v>BIE38</v>
      </c>
    </row>
    <row r="223" spans="1:2">
      <c r="A223" s="5" t="s">
        <v>2650</v>
      </c>
      <c r="B223" s="38" t="str">
        <f t="shared" si="4"/>
        <v>BIE38.other</v>
      </c>
    </row>
    <row r="224" spans="1:2">
      <c r="A224" s="5" t="s">
        <v>2651</v>
      </c>
      <c r="B224" s="38" t="str">
        <f t="shared" si="4"/>
        <v>BIE39</v>
      </c>
    </row>
    <row r="225" spans="1:2">
      <c r="A225" s="5" t="s">
        <v>2652</v>
      </c>
      <c r="B225" s="38" t="str">
        <f t="shared" si="4"/>
        <v>BIE40A</v>
      </c>
    </row>
    <row r="226" spans="1:2">
      <c r="A226" s="5" t="s">
        <v>2653</v>
      </c>
      <c r="B226" s="38" t="str">
        <f t="shared" si="4"/>
        <v>BIE40B</v>
      </c>
    </row>
    <row r="227" spans="1:2">
      <c r="A227" s="5" t="s">
        <v>2654</v>
      </c>
      <c r="B227" s="38" t="str">
        <f t="shared" si="4"/>
        <v>BIE40C</v>
      </c>
    </row>
    <row r="228" spans="1:2">
      <c r="A228" s="5" t="s">
        <v>2655</v>
      </c>
      <c r="B228" s="38" t="str">
        <f t="shared" si="4"/>
        <v>BIE40V</v>
      </c>
    </row>
    <row r="229" spans="1:2">
      <c r="A229" s="5" t="s">
        <v>2656</v>
      </c>
      <c r="B229" s="38" t="str">
        <f t="shared" si="4"/>
        <v>BIE40V.other</v>
      </c>
    </row>
    <row r="230" spans="1:2">
      <c r="A230" s="5" t="s">
        <v>2657</v>
      </c>
      <c r="B230" s="38" t="str">
        <f t="shared" si="4"/>
        <v>BIE41A</v>
      </c>
    </row>
    <row r="231" spans="1:2">
      <c r="A231" s="5" t="s">
        <v>2658</v>
      </c>
      <c r="B231" s="38" t="str">
        <f t="shared" si="4"/>
        <v>BIE41B</v>
      </c>
    </row>
    <row r="232" spans="1:2">
      <c r="A232" s="5" t="s">
        <v>2659</v>
      </c>
      <c r="B232" s="38" t="str">
        <f t="shared" si="4"/>
        <v>BIE41C</v>
      </c>
    </row>
    <row r="233" spans="1:2">
      <c r="A233" s="5" t="s">
        <v>2660</v>
      </c>
      <c r="B233" s="38" t="str">
        <f t="shared" si="4"/>
        <v>BIE41V</v>
      </c>
    </row>
    <row r="234" spans="1:2">
      <c r="A234" s="5" t="s">
        <v>2661</v>
      </c>
      <c r="B234" s="38" t="str">
        <f t="shared" si="4"/>
        <v>BIE42A.A</v>
      </c>
    </row>
    <row r="235" spans="1:2">
      <c r="A235" s="5" t="s">
        <v>2662</v>
      </c>
      <c r="B235" s="38" t="str">
        <f t="shared" si="4"/>
        <v>BIE42A.B</v>
      </c>
    </row>
    <row r="236" spans="1:2">
      <c r="A236" s="5" t="s">
        <v>2663</v>
      </c>
      <c r="B236" s="38" t="str">
        <f t="shared" si="4"/>
        <v>BIE42A.C</v>
      </c>
    </row>
    <row r="237" spans="1:2">
      <c r="A237" s="5" t="s">
        <v>2664</v>
      </c>
      <c r="B237" s="38" t="str">
        <f t="shared" si="4"/>
        <v>BIE42A.D</v>
      </c>
    </row>
    <row r="238" spans="1:2">
      <c r="A238" s="5" t="s">
        <v>2665</v>
      </c>
      <c r="B238" s="38" t="str">
        <f t="shared" si="4"/>
        <v>BIE42A.V</v>
      </c>
    </row>
    <row r="239" spans="1:2">
      <c r="A239" s="5" t="s">
        <v>2666</v>
      </c>
      <c r="B239" s="38" t="str">
        <f t="shared" si="4"/>
        <v>BIE42A.V.other</v>
      </c>
    </row>
    <row r="240" spans="1:2">
      <c r="A240" s="5" t="s">
        <v>2667</v>
      </c>
      <c r="B240" s="38" t="str">
        <f t="shared" si="4"/>
        <v>BIE42B.A</v>
      </c>
    </row>
    <row r="241" spans="1:2">
      <c r="A241" s="5" t="s">
        <v>2668</v>
      </c>
      <c r="B241" s="38" t="str">
        <f t="shared" si="4"/>
        <v>BIE42B.B</v>
      </c>
    </row>
    <row r="242" spans="1:2">
      <c r="A242" s="5" t="s">
        <v>2669</v>
      </c>
      <c r="B242" s="38" t="str">
        <f t="shared" si="4"/>
        <v>BIE42B.C</v>
      </c>
    </row>
    <row r="243" spans="1:2">
      <c r="A243" s="5" t="s">
        <v>2670</v>
      </c>
      <c r="B243" s="38" t="str">
        <f t="shared" si="4"/>
        <v>BIE42B.D</v>
      </c>
    </row>
    <row r="244" spans="1:2">
      <c r="A244" s="5" t="s">
        <v>2671</v>
      </c>
      <c r="B244" s="38" t="str">
        <f t="shared" si="4"/>
        <v>BIE42B.V</v>
      </c>
    </row>
    <row r="245" spans="1:2">
      <c r="A245" s="5" t="s">
        <v>2672</v>
      </c>
      <c r="B245" s="38" t="str">
        <f t="shared" si="4"/>
        <v>BIE42B.V.other</v>
      </c>
    </row>
    <row r="246" spans="1:2">
      <c r="A246" s="5" t="s">
        <v>2673</v>
      </c>
      <c r="B246" s="38" t="str">
        <f t="shared" si="4"/>
        <v>BIE42C.A</v>
      </c>
    </row>
    <row r="247" spans="1:2">
      <c r="A247" s="5" t="s">
        <v>2674</v>
      </c>
      <c r="B247" s="38" t="str">
        <f t="shared" si="4"/>
        <v>BIE42C.B</v>
      </c>
    </row>
    <row r="248" spans="1:2">
      <c r="A248" s="5" t="s">
        <v>2675</v>
      </c>
      <c r="B248" s="38" t="str">
        <f t="shared" si="4"/>
        <v>BIE42C.C</v>
      </c>
    </row>
    <row r="249" spans="1:2">
      <c r="A249" s="5" t="s">
        <v>2676</v>
      </c>
      <c r="B249" s="38" t="str">
        <f t="shared" si="4"/>
        <v>BIE42C.D</v>
      </c>
    </row>
    <row r="250" spans="1:2">
      <c r="A250" s="5" t="s">
        <v>2677</v>
      </c>
      <c r="B250" s="38" t="str">
        <f t="shared" si="4"/>
        <v>BIE42C.V</v>
      </c>
    </row>
    <row r="251" spans="1:2">
      <c r="A251" s="5" t="s">
        <v>2678</v>
      </c>
      <c r="B251" s="38" t="str">
        <f t="shared" si="4"/>
        <v>BIE42C.V.other</v>
      </c>
    </row>
    <row r="252" spans="1:2">
      <c r="A252" s="5" t="s">
        <v>2679</v>
      </c>
      <c r="B252" s="38" t="str">
        <f t="shared" si="4"/>
        <v>BIE42V.A</v>
      </c>
    </row>
    <row r="253" spans="1:2">
      <c r="A253" s="5" t="s">
        <v>2680</v>
      </c>
      <c r="B253" s="38" t="str">
        <f t="shared" si="4"/>
        <v>BIE42V.B</v>
      </c>
    </row>
    <row r="254" spans="1:2">
      <c r="A254" s="5" t="s">
        <v>2681</v>
      </c>
      <c r="B254" s="38" t="str">
        <f t="shared" si="4"/>
        <v>BIE42V.C</v>
      </c>
    </row>
    <row r="255" spans="1:2">
      <c r="A255" s="5" t="s">
        <v>2682</v>
      </c>
      <c r="B255" s="38" t="str">
        <f t="shared" si="4"/>
        <v>BIE42V.D</v>
      </c>
    </row>
    <row r="256" spans="1:2">
      <c r="A256" s="5" t="s">
        <v>2683</v>
      </c>
      <c r="B256" s="38" t="str">
        <f t="shared" si="4"/>
        <v>BIE42V.V</v>
      </c>
    </row>
    <row r="257" spans="1:2">
      <c r="A257" s="5" t="s">
        <v>2684</v>
      </c>
      <c r="B257" s="38" t="str">
        <f t="shared" si="4"/>
        <v>BIE42V.V.other</v>
      </c>
    </row>
    <row r="259" spans="1:2">
      <c r="A259" s="5" t="s">
        <v>2685</v>
      </c>
      <c r="B259" s="38" t="str">
        <f t="shared" ref="B259:B322" si="5">"BI"&amp;A259</f>
        <v>BIE43A</v>
      </c>
    </row>
    <row r="260" spans="1:2">
      <c r="A260" s="5" t="s">
        <v>2686</v>
      </c>
      <c r="B260" s="38" t="str">
        <f t="shared" si="5"/>
        <v>BIE43B</v>
      </c>
    </row>
    <row r="261" spans="1:2">
      <c r="A261" s="5" t="s">
        <v>2687</v>
      </c>
      <c r="B261" s="38" t="str">
        <f t="shared" si="5"/>
        <v>BIE43C</v>
      </c>
    </row>
    <row r="262" spans="1:2">
      <c r="A262" s="5" t="s">
        <v>2688</v>
      </c>
      <c r="B262" s="38" t="str">
        <f t="shared" si="5"/>
        <v>BIE43D</v>
      </c>
    </row>
    <row r="263" spans="1:2">
      <c r="A263" s="5" t="s">
        <v>2689</v>
      </c>
      <c r="B263" s="38" t="str">
        <f t="shared" si="5"/>
        <v>BIE43E</v>
      </c>
    </row>
    <row r="264" spans="1:2">
      <c r="A264" s="5" t="s">
        <v>2690</v>
      </c>
      <c r="B264" s="38" t="str">
        <f t="shared" si="5"/>
        <v>BIE43F</v>
      </c>
    </row>
    <row r="265" spans="1:2">
      <c r="A265" s="5" t="s">
        <v>2691</v>
      </c>
      <c r="B265" s="38" t="str">
        <f t="shared" si="5"/>
        <v>BIE43G</v>
      </c>
    </row>
    <row r="266" spans="1:2">
      <c r="A266" s="5" t="s">
        <v>2692</v>
      </c>
      <c r="B266" s="38" t="str">
        <f t="shared" si="5"/>
        <v>BIE43H</v>
      </c>
    </row>
    <row r="267" spans="1:2">
      <c r="A267" s="5" t="s">
        <v>2693</v>
      </c>
      <c r="B267" s="38" t="str">
        <f t="shared" si="5"/>
        <v>BIE43I</v>
      </c>
    </row>
    <row r="268" spans="1:2">
      <c r="A268" s="5" t="s">
        <v>2694</v>
      </c>
      <c r="B268" s="38" t="str">
        <f t="shared" si="5"/>
        <v>BIE43J</v>
      </c>
    </row>
    <row r="269" spans="1:2">
      <c r="A269" s="5" t="s">
        <v>2695</v>
      </c>
      <c r="B269" s="38" t="str">
        <f t="shared" si="5"/>
        <v>BIE43K</v>
      </c>
    </row>
    <row r="270" spans="1:2">
      <c r="A270" s="5" t="s">
        <v>2696</v>
      </c>
      <c r="B270" s="38" t="str">
        <f t="shared" si="5"/>
        <v>BIE44A</v>
      </c>
    </row>
    <row r="271" spans="1:2">
      <c r="A271" s="5" t="s">
        <v>2697</v>
      </c>
      <c r="B271" s="38" t="str">
        <f t="shared" si="5"/>
        <v>BIE44B</v>
      </c>
    </row>
    <row r="272" spans="1:2">
      <c r="A272" s="5" t="s">
        <v>2698</v>
      </c>
      <c r="B272" s="38" t="str">
        <f t="shared" si="5"/>
        <v>BIE44V</v>
      </c>
    </row>
    <row r="273" spans="1:2">
      <c r="A273" s="5" t="s">
        <v>2699</v>
      </c>
      <c r="B273" s="38" t="str">
        <f t="shared" si="5"/>
        <v>BIE44V.other</v>
      </c>
    </row>
    <row r="274" spans="1:2">
      <c r="A274" s="5" t="s">
        <v>2700</v>
      </c>
      <c r="B274" s="38" t="str">
        <f t="shared" si="5"/>
        <v>BIE44W</v>
      </c>
    </row>
    <row r="275" spans="1:2">
      <c r="A275" s="5" t="s">
        <v>2701</v>
      </c>
      <c r="B275" s="38" t="str">
        <f t="shared" si="5"/>
        <v>BIE45A</v>
      </c>
    </row>
    <row r="276" spans="1:2">
      <c r="A276" s="5" t="s">
        <v>2702</v>
      </c>
      <c r="B276" s="38" t="str">
        <f t="shared" si="5"/>
        <v>BIE45B</v>
      </c>
    </row>
    <row r="277" spans="1:2">
      <c r="A277" s="5" t="s">
        <v>2703</v>
      </c>
      <c r="B277" s="38" t="str">
        <f t="shared" si="5"/>
        <v>BIE45C</v>
      </c>
    </row>
    <row r="278" spans="1:2">
      <c r="A278" s="5" t="s">
        <v>2704</v>
      </c>
      <c r="B278" s="38" t="str">
        <f t="shared" si="5"/>
        <v>BIE45D</v>
      </c>
    </row>
    <row r="279" spans="1:2">
      <c r="A279" s="5" t="s">
        <v>2705</v>
      </c>
      <c r="B279" s="38" t="str">
        <f t="shared" si="5"/>
        <v>BIE45E</v>
      </c>
    </row>
    <row r="280" spans="1:2">
      <c r="A280" s="5" t="s">
        <v>2706</v>
      </c>
      <c r="B280" s="38" t="str">
        <f t="shared" si="5"/>
        <v>BIE45F</v>
      </c>
    </row>
    <row r="281" spans="1:2">
      <c r="A281" s="5" t="s">
        <v>2707</v>
      </c>
      <c r="B281" s="38" t="str">
        <f t="shared" si="5"/>
        <v>BIE45G</v>
      </c>
    </row>
    <row r="282" spans="1:2">
      <c r="A282" s="5" t="s">
        <v>2708</v>
      </c>
      <c r="B282" s="38" t="str">
        <f t="shared" si="5"/>
        <v>BIE45H</v>
      </c>
    </row>
    <row r="283" spans="1:2">
      <c r="A283" s="5" t="s">
        <v>2709</v>
      </c>
      <c r="B283" s="38" t="str">
        <f t="shared" si="5"/>
        <v>BIE45I</v>
      </c>
    </row>
    <row r="284" spans="1:2">
      <c r="A284" s="5" t="s">
        <v>2710</v>
      </c>
      <c r="B284" s="38" t="str">
        <f t="shared" si="5"/>
        <v>BIE45J</v>
      </c>
    </row>
    <row r="285" spans="1:2">
      <c r="A285" s="5" t="s">
        <v>2711</v>
      </c>
      <c r="B285" s="38" t="str">
        <f t="shared" si="5"/>
        <v>BIE46A</v>
      </c>
    </row>
    <row r="286" spans="1:2">
      <c r="A286" s="5" t="s">
        <v>2712</v>
      </c>
      <c r="B286" s="38" t="str">
        <f t="shared" si="5"/>
        <v>BIE46B</v>
      </c>
    </row>
    <row r="287" spans="1:2">
      <c r="A287" s="5" t="s">
        <v>2713</v>
      </c>
      <c r="B287" s="38" t="str">
        <f t="shared" si="5"/>
        <v>BIE46C</v>
      </c>
    </row>
    <row r="288" spans="1:2">
      <c r="A288" s="5" t="s">
        <v>2714</v>
      </c>
      <c r="B288" s="38" t="str">
        <f t="shared" si="5"/>
        <v>BIE46D</v>
      </c>
    </row>
    <row r="289" spans="1:2">
      <c r="A289" s="5" t="s">
        <v>2715</v>
      </c>
      <c r="B289" s="38" t="str">
        <f t="shared" si="5"/>
        <v>BIE46E</v>
      </c>
    </row>
    <row r="290" spans="1:2">
      <c r="A290" s="5" t="s">
        <v>2716</v>
      </c>
      <c r="B290" s="38" t="str">
        <f t="shared" si="5"/>
        <v>BIE46F</v>
      </c>
    </row>
    <row r="291" spans="1:2">
      <c r="A291" s="5" t="s">
        <v>2717</v>
      </c>
      <c r="B291" s="38" t="str">
        <f t="shared" si="5"/>
        <v>BIE46G</v>
      </c>
    </row>
    <row r="292" spans="1:2">
      <c r="A292" s="5" t="s">
        <v>2718</v>
      </c>
      <c r="B292" s="38" t="str">
        <f t="shared" si="5"/>
        <v>BIE46H</v>
      </c>
    </row>
    <row r="293" spans="1:2">
      <c r="A293" s="5" t="s">
        <v>2719</v>
      </c>
      <c r="B293" s="38" t="str">
        <f t="shared" si="5"/>
        <v>BIE46I</v>
      </c>
    </row>
    <row r="294" spans="1:2">
      <c r="A294" s="5" t="s">
        <v>2720</v>
      </c>
      <c r="B294" s="38" t="str">
        <f t="shared" si="5"/>
        <v>BIE46J</v>
      </c>
    </row>
    <row r="295" spans="1:2">
      <c r="A295" s="5" t="s">
        <v>2721</v>
      </c>
      <c r="B295" s="38" t="str">
        <f t="shared" si="5"/>
        <v>BIE47A</v>
      </c>
    </row>
    <row r="296" spans="1:2">
      <c r="A296" s="5" t="s">
        <v>2722</v>
      </c>
      <c r="B296" s="38" t="str">
        <f t="shared" si="5"/>
        <v>BIE47B</v>
      </c>
    </row>
    <row r="297" spans="1:2">
      <c r="A297" s="5" t="s">
        <v>2723</v>
      </c>
      <c r="B297" s="38" t="str">
        <f t="shared" si="5"/>
        <v>BIE47C</v>
      </c>
    </row>
    <row r="298" spans="1:2">
      <c r="A298" s="5" t="s">
        <v>2724</v>
      </c>
      <c r="B298" s="38" t="str">
        <f t="shared" si="5"/>
        <v>BIE47D</v>
      </c>
    </row>
    <row r="299" spans="1:2">
      <c r="A299" s="5" t="s">
        <v>2725</v>
      </c>
      <c r="B299" s="38" t="str">
        <f t="shared" si="5"/>
        <v>BIE47E</v>
      </c>
    </row>
    <row r="300" spans="1:2">
      <c r="A300" s="5" t="s">
        <v>2726</v>
      </c>
      <c r="B300" s="38" t="str">
        <f t="shared" si="5"/>
        <v>BIE47F</v>
      </c>
    </row>
    <row r="301" spans="1:2">
      <c r="A301" s="5" t="s">
        <v>2727</v>
      </c>
      <c r="B301" s="38" t="str">
        <f t="shared" si="5"/>
        <v>BIE47G</v>
      </c>
    </row>
    <row r="302" spans="1:2">
      <c r="A302" s="5" t="s">
        <v>2728</v>
      </c>
      <c r="B302" s="38" t="str">
        <f t="shared" si="5"/>
        <v>BIE47H</v>
      </c>
    </row>
    <row r="303" spans="1:2">
      <c r="A303" s="5" t="s">
        <v>2729</v>
      </c>
      <c r="B303" s="38" t="str">
        <f t="shared" si="5"/>
        <v>BIE47I</v>
      </c>
    </row>
    <row r="304" spans="1:2">
      <c r="A304" s="5" t="s">
        <v>2730</v>
      </c>
      <c r="B304" s="38" t="str">
        <f t="shared" si="5"/>
        <v>BIE47J</v>
      </c>
    </row>
    <row r="305" spans="1:2">
      <c r="A305" s="5" t="s">
        <v>2731</v>
      </c>
      <c r="B305" s="38" t="str">
        <f t="shared" si="5"/>
        <v>BIE48A.A</v>
      </c>
    </row>
    <row r="306" spans="1:2">
      <c r="A306" s="5" t="s">
        <v>2732</v>
      </c>
      <c r="B306" s="38" t="str">
        <f t="shared" si="5"/>
        <v>BIE48A.B</v>
      </c>
    </row>
    <row r="307" spans="1:2">
      <c r="A307" s="5" t="s">
        <v>2733</v>
      </c>
      <c r="B307" s="38" t="str">
        <f t="shared" si="5"/>
        <v>BIE48A.C</v>
      </c>
    </row>
    <row r="308" spans="1:2">
      <c r="A308" s="5" t="s">
        <v>2734</v>
      </c>
      <c r="B308" s="38" t="str">
        <f t="shared" si="5"/>
        <v>BIE48A.D</v>
      </c>
    </row>
    <row r="309" spans="1:2">
      <c r="A309" s="5" t="s">
        <v>2735</v>
      </c>
      <c r="B309" s="38" t="str">
        <f t="shared" si="5"/>
        <v>BIE48A.E</v>
      </c>
    </row>
    <row r="310" spans="1:2">
      <c r="A310" s="5" t="s">
        <v>2736</v>
      </c>
      <c r="B310" s="38" t="str">
        <f t="shared" si="5"/>
        <v>BIE48A.F</v>
      </c>
    </row>
    <row r="311" spans="1:2">
      <c r="A311" s="5" t="s">
        <v>2737</v>
      </c>
      <c r="B311" s="38" t="str">
        <f t="shared" si="5"/>
        <v>BIE48A.G</v>
      </c>
    </row>
    <row r="312" spans="1:2">
      <c r="A312" s="5" t="s">
        <v>2738</v>
      </c>
      <c r="B312" s="38" t="str">
        <f t="shared" si="5"/>
        <v>BIE48A.H</v>
      </c>
    </row>
    <row r="313" spans="1:2">
      <c r="A313" s="5" t="s">
        <v>2739</v>
      </c>
      <c r="B313" s="38" t="str">
        <f t="shared" si="5"/>
        <v>BIE48A.V</v>
      </c>
    </row>
    <row r="314" spans="1:2">
      <c r="A314" s="5" t="s">
        <v>2740</v>
      </c>
      <c r="B314" s="38" t="str">
        <f t="shared" si="5"/>
        <v>BIE48A.V.other</v>
      </c>
    </row>
    <row r="315" spans="1:2">
      <c r="A315" s="5" t="s">
        <v>2741</v>
      </c>
      <c r="B315" s="38" t="str">
        <f t="shared" si="5"/>
        <v>BIE48B.1</v>
      </c>
    </row>
    <row r="316" spans="1:2">
      <c r="A316" s="5" t="s">
        <v>2742</v>
      </c>
      <c r="B316" s="38" t="str">
        <f t="shared" si="5"/>
        <v>BIE48B.2</v>
      </c>
    </row>
    <row r="317" spans="1:2">
      <c r="A317" s="5" t="s">
        <v>2743</v>
      </c>
      <c r="B317" s="38" t="str">
        <f t="shared" si="5"/>
        <v>BIE48B.3</v>
      </c>
    </row>
    <row r="318" spans="1:2">
      <c r="A318" s="5" t="s">
        <v>2744</v>
      </c>
      <c r="B318" s="38" t="str">
        <f t="shared" si="5"/>
        <v>BIE49A.A</v>
      </c>
    </row>
    <row r="319" spans="1:2">
      <c r="A319" s="5" t="s">
        <v>2745</v>
      </c>
      <c r="B319" s="38" t="str">
        <f t="shared" si="5"/>
        <v>BIE49A.B</v>
      </c>
    </row>
    <row r="320" spans="1:2">
      <c r="A320" s="5" t="s">
        <v>2746</v>
      </c>
      <c r="B320" s="38" t="str">
        <f t="shared" si="5"/>
        <v>BIE49A.C</v>
      </c>
    </row>
    <row r="321" spans="1:2">
      <c r="A321" s="5" t="s">
        <v>2747</v>
      </c>
      <c r="B321" s="38" t="str">
        <f t="shared" si="5"/>
        <v>BIE49A.D</v>
      </c>
    </row>
    <row r="322" spans="1:2">
      <c r="A322" s="5" t="s">
        <v>2748</v>
      </c>
      <c r="B322" s="38" t="str">
        <f t="shared" si="5"/>
        <v>BIE49A.E</v>
      </c>
    </row>
    <row r="323" spans="1:2">
      <c r="A323" s="5" t="s">
        <v>2749</v>
      </c>
      <c r="B323" s="38" t="str">
        <f t="shared" ref="B323:B380" si="6">"BI"&amp;A323</f>
        <v>BIE49A.F</v>
      </c>
    </row>
    <row r="324" spans="1:2">
      <c r="A324" s="5" t="s">
        <v>2750</v>
      </c>
      <c r="B324" s="38" t="str">
        <f t="shared" si="6"/>
        <v>BIE49A.G</v>
      </c>
    </row>
    <row r="325" spans="1:2">
      <c r="A325" s="5" t="s">
        <v>2751</v>
      </c>
      <c r="B325" s="38" t="str">
        <f t="shared" si="6"/>
        <v>BIE49A.H</v>
      </c>
    </row>
    <row r="326" spans="1:2">
      <c r="A326" s="5" t="s">
        <v>2752</v>
      </c>
      <c r="B326" s="38" t="str">
        <f t="shared" si="6"/>
        <v>BIE49A.I</v>
      </c>
    </row>
    <row r="327" spans="1:2">
      <c r="A327" s="5" t="s">
        <v>2753</v>
      </c>
      <c r="B327" s="38" t="str">
        <f t="shared" si="6"/>
        <v>BIE49A.V</v>
      </c>
    </row>
    <row r="328" spans="1:2">
      <c r="A328" s="5" t="s">
        <v>2754</v>
      </c>
      <c r="B328" s="38" t="str">
        <f t="shared" si="6"/>
        <v>BIE49A.V.other</v>
      </c>
    </row>
    <row r="329" spans="1:2">
      <c r="A329" s="5" t="s">
        <v>2755</v>
      </c>
      <c r="B329" s="38" t="str">
        <f t="shared" si="6"/>
        <v>BIE49B.1</v>
      </c>
    </row>
    <row r="330" spans="1:2">
      <c r="A330" s="5" t="s">
        <v>2756</v>
      </c>
      <c r="B330" s="38" t="str">
        <f t="shared" si="6"/>
        <v>BIE49B.2</v>
      </c>
    </row>
    <row r="331" spans="1:2">
      <c r="A331" s="5" t="s">
        <v>2757</v>
      </c>
      <c r="B331" s="38" t="str">
        <f t="shared" si="6"/>
        <v>BIE49B.3</v>
      </c>
    </row>
    <row r="332" spans="1:2">
      <c r="A332" s="5" t="s">
        <v>2758</v>
      </c>
      <c r="B332" s="38" t="str">
        <f t="shared" si="6"/>
        <v>BIE50</v>
      </c>
    </row>
    <row r="333" spans="1:2">
      <c r="A333" s="5" t="s">
        <v>2759</v>
      </c>
      <c r="B333" s="38" t="str">
        <f t="shared" si="6"/>
        <v>BIE51</v>
      </c>
    </row>
    <row r="334" spans="1:2">
      <c r="A334" s="5" t="s">
        <v>2760</v>
      </c>
      <c r="B334" s="38" t="str">
        <f t="shared" si="6"/>
        <v>BIE52</v>
      </c>
    </row>
    <row r="335" spans="1:2">
      <c r="A335" s="5" t="s">
        <v>2761</v>
      </c>
      <c r="B335" s="38" t="str">
        <f t="shared" si="6"/>
        <v>BIE53A</v>
      </c>
    </row>
    <row r="336" spans="1:2">
      <c r="A336" s="5" t="s">
        <v>2762</v>
      </c>
      <c r="B336" s="38" t="str">
        <f t="shared" si="6"/>
        <v>BIE53B</v>
      </c>
    </row>
    <row r="337" spans="1:2">
      <c r="A337" s="5" t="s">
        <v>2763</v>
      </c>
      <c r="B337" s="38" t="str">
        <f t="shared" si="6"/>
        <v>BIE53C</v>
      </c>
    </row>
    <row r="338" spans="1:2">
      <c r="A338" s="5" t="s">
        <v>2764</v>
      </c>
      <c r="B338" s="38" t="str">
        <f t="shared" si="6"/>
        <v>BIE53D</v>
      </c>
    </row>
    <row r="339" spans="1:2">
      <c r="A339" s="5" t="s">
        <v>2765</v>
      </c>
      <c r="B339" s="38" t="str">
        <f t="shared" si="6"/>
        <v>BIE53E</v>
      </c>
    </row>
    <row r="340" spans="1:2">
      <c r="A340" s="5" t="s">
        <v>2766</v>
      </c>
      <c r="B340" s="38" t="str">
        <f t="shared" si="6"/>
        <v>BIE53F</v>
      </c>
    </row>
    <row r="341" spans="1:2">
      <c r="A341" s="5" t="s">
        <v>2767</v>
      </c>
      <c r="B341" s="38" t="str">
        <f t="shared" si="6"/>
        <v>BIE53V</v>
      </c>
    </row>
    <row r="342" spans="1:2">
      <c r="A342" s="5" t="s">
        <v>2768</v>
      </c>
      <c r="B342" s="38" t="str">
        <f t="shared" si="6"/>
        <v>BIE53V.other</v>
      </c>
    </row>
    <row r="343" spans="1:2">
      <c r="A343" s="5" t="s">
        <v>2769</v>
      </c>
      <c r="B343" s="38" t="str">
        <f t="shared" si="6"/>
        <v>BIE54A</v>
      </c>
    </row>
    <row r="344" spans="1:2">
      <c r="A344" s="5" t="s">
        <v>2770</v>
      </c>
      <c r="B344" s="38" t="str">
        <f t="shared" si="6"/>
        <v>BIE54B</v>
      </c>
    </row>
    <row r="345" spans="1:2">
      <c r="A345" s="5" t="s">
        <v>2771</v>
      </c>
      <c r="B345" s="38" t="str">
        <f t="shared" si="6"/>
        <v>BIE54C</v>
      </c>
    </row>
    <row r="346" spans="1:2">
      <c r="A346" s="5" t="s">
        <v>2772</v>
      </c>
      <c r="B346" s="38" t="str">
        <f t="shared" si="6"/>
        <v>BIE54D</v>
      </c>
    </row>
    <row r="347" spans="1:2">
      <c r="A347" s="5" t="s">
        <v>2773</v>
      </c>
      <c r="B347" s="38" t="str">
        <f t="shared" si="6"/>
        <v>BIE54V</v>
      </c>
    </row>
    <row r="348" spans="1:2">
      <c r="A348" s="5" t="s">
        <v>2774</v>
      </c>
      <c r="B348" s="38" t="str">
        <f t="shared" si="6"/>
        <v>BIE54V.other</v>
      </c>
    </row>
    <row r="349" spans="1:2">
      <c r="A349" s="5" t="s">
        <v>2775</v>
      </c>
      <c r="B349" s="38" t="str">
        <f t="shared" si="6"/>
        <v>BIE55</v>
      </c>
    </row>
    <row r="351" spans="1:2">
      <c r="A351" s="5" t="s">
        <v>2776</v>
      </c>
      <c r="B351" s="38" t="str">
        <f t="shared" si="6"/>
        <v>BIE58</v>
      </c>
    </row>
    <row r="352" spans="1:2">
      <c r="A352" s="5" t="s">
        <v>2777</v>
      </c>
      <c r="B352" s="38" t="str">
        <f t="shared" si="6"/>
        <v>BIE59</v>
      </c>
    </row>
    <row r="353" spans="1:2">
      <c r="A353" s="5" t="s">
        <v>2778</v>
      </c>
      <c r="B353" s="38" t="str">
        <f t="shared" si="6"/>
        <v>BIE59.other</v>
      </c>
    </row>
    <row r="354" spans="1:2">
      <c r="A354" s="5" t="s">
        <v>2779</v>
      </c>
      <c r="B354" s="38" t="str">
        <f t="shared" si="6"/>
        <v>BIE60</v>
      </c>
    </row>
    <row r="355" spans="1:2">
      <c r="A355" s="5" t="s">
        <v>2780</v>
      </c>
      <c r="B355" s="38" t="str">
        <f t="shared" si="6"/>
        <v>BIE61A</v>
      </c>
    </row>
    <row r="356" spans="1:2">
      <c r="A356" s="5" t="s">
        <v>2781</v>
      </c>
      <c r="B356" s="38" t="str">
        <f t="shared" si="6"/>
        <v>BIE61B</v>
      </c>
    </row>
    <row r="357" spans="1:2">
      <c r="A357" s="5" t="s">
        <v>2782</v>
      </c>
      <c r="B357" s="38" t="str">
        <f t="shared" si="6"/>
        <v>BIE61C</v>
      </c>
    </row>
    <row r="358" spans="1:2">
      <c r="A358" s="5" t="s">
        <v>2783</v>
      </c>
      <c r="B358" s="38" t="str">
        <f t="shared" si="6"/>
        <v>BIE61D</v>
      </c>
    </row>
    <row r="359" spans="1:2">
      <c r="A359" s="5" t="s">
        <v>2784</v>
      </c>
      <c r="B359" s="38" t="str">
        <f t="shared" si="6"/>
        <v>BIE61E</v>
      </c>
    </row>
    <row r="360" spans="1:2">
      <c r="A360" s="5" t="s">
        <v>2785</v>
      </c>
      <c r="B360" s="38" t="str">
        <f t="shared" si="6"/>
        <v>BIE61E.other</v>
      </c>
    </row>
    <row r="361" spans="1:2">
      <c r="A361" s="5" t="s">
        <v>2786</v>
      </c>
      <c r="B361" s="38" t="str">
        <f t="shared" si="6"/>
        <v>BIE62</v>
      </c>
    </row>
    <row r="362" spans="1:2">
      <c r="A362" s="5" t="s">
        <v>2787</v>
      </c>
      <c r="B362" s="38" t="str">
        <f t="shared" si="6"/>
        <v>BIE63</v>
      </c>
    </row>
    <row r="363" spans="1:2">
      <c r="A363" s="5" t="s">
        <v>2788</v>
      </c>
      <c r="B363" s="38" t="str">
        <f t="shared" si="6"/>
        <v>BIE64</v>
      </c>
    </row>
    <row r="364" spans="1:2">
      <c r="A364" s="5" t="s">
        <v>2789</v>
      </c>
      <c r="B364" s="38" t="str">
        <f t="shared" si="6"/>
        <v>BIE65</v>
      </c>
    </row>
    <row r="365" spans="1:2">
      <c r="A365" s="5" t="s">
        <v>2790</v>
      </c>
      <c r="B365" s="38" t="str">
        <f t="shared" si="6"/>
        <v>BIE65.other</v>
      </c>
    </row>
    <row r="367" spans="1:2">
      <c r="A367" s="5" t="s">
        <v>2791</v>
      </c>
      <c r="B367" s="38" t="str">
        <f t="shared" si="6"/>
        <v>BIE66.1</v>
      </c>
    </row>
    <row r="368" spans="1:2">
      <c r="A368" s="5" t="s">
        <v>2792</v>
      </c>
      <c r="B368" s="38" t="str">
        <f t="shared" si="6"/>
        <v>BIE66.2</v>
      </c>
    </row>
    <row r="369" spans="1:2">
      <c r="A369" s="5" t="s">
        <v>2793</v>
      </c>
      <c r="B369" s="38" t="str">
        <f t="shared" si="6"/>
        <v>BIE66.3</v>
      </c>
    </row>
    <row r="370" spans="1:2">
      <c r="A370" s="5" t="s">
        <v>2794</v>
      </c>
      <c r="B370" s="38" t="str">
        <f t="shared" si="6"/>
        <v>BIE66.4</v>
      </c>
    </row>
    <row r="371" spans="1:2">
      <c r="A371" s="5" t="s">
        <v>2795</v>
      </c>
      <c r="B371" s="38" t="str">
        <f t="shared" si="6"/>
        <v>BIE67</v>
      </c>
    </row>
    <row r="372" spans="1:2">
      <c r="A372" s="5" t="s">
        <v>2796</v>
      </c>
      <c r="B372" s="38" t="str">
        <f t="shared" si="6"/>
        <v>BIE68A</v>
      </c>
    </row>
    <row r="373" spans="1:2">
      <c r="A373" s="5" t="s">
        <v>2797</v>
      </c>
      <c r="B373" s="38" t="str">
        <f t="shared" si="6"/>
        <v>BIE68B</v>
      </c>
    </row>
    <row r="374" spans="1:2">
      <c r="A374" s="5" t="s">
        <v>2798</v>
      </c>
      <c r="B374" s="38" t="str">
        <f t="shared" si="6"/>
        <v>BIE68C</v>
      </c>
    </row>
    <row r="375" spans="1:2">
      <c r="A375" s="5" t="s">
        <v>2799</v>
      </c>
      <c r="B375" s="38" t="str">
        <f t="shared" si="6"/>
        <v>BIE68D</v>
      </c>
    </row>
    <row r="376" spans="1:2">
      <c r="A376" s="5" t="s">
        <v>2800</v>
      </c>
      <c r="B376" s="38" t="str">
        <f t="shared" si="6"/>
        <v>BIE68E</v>
      </c>
    </row>
    <row r="377" spans="1:2">
      <c r="A377" s="5" t="s">
        <v>2801</v>
      </c>
      <c r="B377" s="38" t="str">
        <f t="shared" si="6"/>
        <v>BIE68F</v>
      </c>
    </row>
    <row r="378" spans="1:2">
      <c r="A378" s="5" t="s">
        <v>2802</v>
      </c>
      <c r="B378" s="38" t="str">
        <f t="shared" si="6"/>
        <v>BIE68V</v>
      </c>
    </row>
    <row r="379" spans="1:2">
      <c r="A379" s="5" t="s">
        <v>2803</v>
      </c>
      <c r="B379" s="38" t="str">
        <f t="shared" si="6"/>
        <v>BIE68V.other</v>
      </c>
    </row>
    <row r="380" spans="1:2">
      <c r="A380" s="5" t="s">
        <v>2804</v>
      </c>
      <c r="B380" s="38" t="str">
        <f t="shared" si="6"/>
        <v>BIE69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workbookViewId="0">
      <selection activeCell="B13" sqref="B13"/>
    </sheetView>
  </sheetViews>
  <sheetFormatPr baseColWidth="10" defaultColWidth="8.83203125" defaultRowHeight="15"/>
  <cols>
    <col min="1" max="13" width="51" style="18" customWidth="1"/>
  </cols>
  <sheetData>
    <row r="1" spans="1:13" s="38" customFormat="1" ht="16">
      <c r="A1" s="41" t="s">
        <v>623</v>
      </c>
      <c r="B1" s="41" t="s">
        <v>624</v>
      </c>
      <c r="C1" s="41" t="s">
        <v>625</v>
      </c>
      <c r="D1" s="41" t="s">
        <v>626</v>
      </c>
      <c r="E1" s="41" t="s">
        <v>627</v>
      </c>
      <c r="F1" s="41" t="s">
        <v>628</v>
      </c>
      <c r="G1" s="41" t="s">
        <v>629</v>
      </c>
      <c r="H1" s="41" t="s">
        <v>630</v>
      </c>
      <c r="I1" s="41" t="s">
        <v>631</v>
      </c>
      <c r="J1" s="41" t="s">
        <v>632</v>
      </c>
      <c r="K1" s="41" t="s">
        <v>633</v>
      </c>
      <c r="L1" s="41" t="s">
        <v>634</v>
      </c>
      <c r="M1" s="41" t="s">
        <v>635</v>
      </c>
    </row>
    <row r="2" spans="1:13" ht="16">
      <c r="A2" s="18" t="s">
        <v>636</v>
      </c>
      <c r="B2" s="18" t="s">
        <v>637</v>
      </c>
      <c r="C2" s="18" t="s">
        <v>2911</v>
      </c>
      <c r="D2" s="18" t="s">
        <v>638</v>
      </c>
      <c r="E2" s="18" t="s">
        <v>639</v>
      </c>
      <c r="F2" s="18" t="s">
        <v>640</v>
      </c>
      <c r="G2" s="18" t="s">
        <v>638</v>
      </c>
      <c r="H2" s="18" t="s">
        <v>641</v>
      </c>
      <c r="I2" s="18" t="s">
        <v>642</v>
      </c>
      <c r="J2" s="18" t="s">
        <v>643</v>
      </c>
      <c r="K2" s="18" t="s">
        <v>644</v>
      </c>
      <c r="L2" s="18" t="s">
        <v>644</v>
      </c>
      <c r="M2" s="18" t="s">
        <v>644</v>
      </c>
    </row>
    <row r="3" spans="1:13" ht="16">
      <c r="A3" s="18" t="s">
        <v>645</v>
      </c>
      <c r="B3" s="18" t="s">
        <v>646</v>
      </c>
      <c r="C3" s="18" t="s">
        <v>2912</v>
      </c>
      <c r="D3" s="18" t="s">
        <v>647</v>
      </c>
      <c r="E3" s="18" t="s">
        <v>648</v>
      </c>
      <c r="F3" s="18" t="s">
        <v>649</v>
      </c>
      <c r="G3" s="18" t="s">
        <v>650</v>
      </c>
      <c r="H3" s="18" t="s">
        <v>651</v>
      </c>
      <c r="I3" s="18" t="s">
        <v>652</v>
      </c>
      <c r="J3" s="18" t="s">
        <v>653</v>
      </c>
      <c r="K3" s="18" t="s">
        <v>654</v>
      </c>
      <c r="L3" s="18" t="s">
        <v>654</v>
      </c>
      <c r="M3" s="18" t="s">
        <v>655</v>
      </c>
    </row>
    <row r="4" spans="1:13" ht="32">
      <c r="A4" s="18" t="s">
        <v>656</v>
      </c>
      <c r="B4" s="18" t="s">
        <v>657</v>
      </c>
      <c r="C4" s="18" t="s">
        <v>2913</v>
      </c>
      <c r="D4" s="18" t="s">
        <v>658</v>
      </c>
      <c r="E4" s="18" t="s">
        <v>651</v>
      </c>
      <c r="F4" s="18" t="s">
        <v>659</v>
      </c>
      <c r="G4" s="18" t="s">
        <v>660</v>
      </c>
      <c r="H4" s="42" t="s">
        <v>661</v>
      </c>
      <c r="I4" s="42" t="s">
        <v>662</v>
      </c>
      <c r="J4" s="18" t="s">
        <v>663</v>
      </c>
      <c r="K4" s="18" t="s">
        <v>651</v>
      </c>
      <c r="L4" s="18" t="s">
        <v>651</v>
      </c>
      <c r="M4" s="18" t="s">
        <v>651</v>
      </c>
    </row>
    <row r="5" spans="1:13" ht="32">
      <c r="A5" s="18" t="s">
        <v>664</v>
      </c>
      <c r="B5" s="18" t="s">
        <v>665</v>
      </c>
      <c r="C5" s="18" t="s">
        <v>2914</v>
      </c>
      <c r="D5" s="18" t="s">
        <v>651</v>
      </c>
      <c r="E5" s="42" t="s">
        <v>666</v>
      </c>
      <c r="F5" s="18" t="s">
        <v>651</v>
      </c>
      <c r="G5" s="18" t="s">
        <v>651</v>
      </c>
      <c r="H5" s="18" t="s">
        <v>667</v>
      </c>
      <c r="I5" s="42" t="s">
        <v>668</v>
      </c>
      <c r="J5" s="18" t="s">
        <v>651</v>
      </c>
      <c r="K5" s="42" t="s">
        <v>669</v>
      </c>
      <c r="L5" s="42" t="s">
        <v>670</v>
      </c>
      <c r="M5" s="42" t="s">
        <v>671</v>
      </c>
    </row>
    <row r="6" spans="1:13" ht="32">
      <c r="A6" s="18" t="s">
        <v>672</v>
      </c>
      <c r="B6" s="18" t="s">
        <v>673</v>
      </c>
      <c r="C6" s="18" t="s">
        <v>2915</v>
      </c>
      <c r="D6" s="42" t="s">
        <v>674</v>
      </c>
      <c r="E6" s="42" t="s">
        <v>675</v>
      </c>
      <c r="F6" s="42" t="s">
        <v>676</v>
      </c>
      <c r="G6" s="42" t="s">
        <v>677</v>
      </c>
      <c r="J6" s="42" t="s">
        <v>678</v>
      </c>
      <c r="K6" s="42" t="s">
        <v>679</v>
      </c>
      <c r="L6" s="42" t="s">
        <v>680</v>
      </c>
      <c r="M6" s="18" t="s">
        <v>681</v>
      </c>
    </row>
    <row r="7" spans="1:13" ht="32">
      <c r="A7" s="18" t="s">
        <v>682</v>
      </c>
      <c r="B7" s="18" t="s">
        <v>683</v>
      </c>
      <c r="C7" s="42" t="s">
        <v>684</v>
      </c>
      <c r="D7" s="42" t="s">
        <v>685</v>
      </c>
      <c r="F7" s="42" t="s">
        <v>686</v>
      </c>
      <c r="G7" s="42" t="s">
        <v>687</v>
      </c>
      <c r="J7" s="42" t="s">
        <v>688</v>
      </c>
    </row>
    <row r="8" spans="1:13" ht="48">
      <c r="A8" s="18" t="s">
        <v>689</v>
      </c>
      <c r="B8" s="18" t="s">
        <v>690</v>
      </c>
      <c r="C8" s="42" t="s">
        <v>691</v>
      </c>
      <c r="D8" s="42" t="s">
        <v>692</v>
      </c>
      <c r="F8" s="42" t="s">
        <v>693</v>
      </c>
      <c r="J8" s="42" t="s">
        <v>694</v>
      </c>
    </row>
    <row r="9" spans="1:13" ht="48">
      <c r="A9" s="18" t="s">
        <v>695</v>
      </c>
      <c r="B9" s="18" t="s">
        <v>696</v>
      </c>
      <c r="C9" s="42" t="s">
        <v>697</v>
      </c>
    </row>
    <row r="10" spans="1:13" ht="32">
      <c r="A10" s="18" t="s">
        <v>698</v>
      </c>
      <c r="B10" s="18" t="s">
        <v>699</v>
      </c>
      <c r="C10" s="42" t="s">
        <v>700</v>
      </c>
    </row>
    <row r="11" spans="1:13" ht="32">
      <c r="A11" s="18" t="s">
        <v>701</v>
      </c>
      <c r="B11" s="18" t="s">
        <v>702</v>
      </c>
    </row>
    <row r="12" spans="1:13" ht="16">
      <c r="A12" s="18" t="s">
        <v>703</v>
      </c>
      <c r="B12" s="18" t="s">
        <v>704</v>
      </c>
    </row>
    <row r="13" spans="1:13" ht="32">
      <c r="A13" s="18" t="s">
        <v>705</v>
      </c>
      <c r="B13" s="42" t="s">
        <v>706</v>
      </c>
    </row>
    <row r="14" spans="1:13" ht="32">
      <c r="A14" s="18" t="s">
        <v>707</v>
      </c>
      <c r="B14" s="42" t="s">
        <v>708</v>
      </c>
    </row>
    <row r="15" spans="1:13" ht="32">
      <c r="A15" s="18" t="s">
        <v>709</v>
      </c>
      <c r="B15" s="42" t="s">
        <v>710</v>
      </c>
    </row>
    <row r="16" spans="1:13" ht="32">
      <c r="A16" s="42" t="s">
        <v>711</v>
      </c>
      <c r="B16" s="42" t="s">
        <v>712</v>
      </c>
    </row>
    <row r="17" spans="1:2" ht="32">
      <c r="A17" s="42" t="s">
        <v>713</v>
      </c>
      <c r="B17" s="42" t="s">
        <v>714</v>
      </c>
    </row>
    <row r="18" spans="1:2" ht="32">
      <c r="A18" s="42" t="s">
        <v>715</v>
      </c>
      <c r="B18" s="42" t="s">
        <v>716</v>
      </c>
    </row>
    <row r="19" spans="1:2" ht="32">
      <c r="A19" s="42" t="s">
        <v>717</v>
      </c>
      <c r="B19" s="42" t="s">
        <v>718</v>
      </c>
    </row>
    <row r="20" spans="1:2" ht="32">
      <c r="A20" s="42" t="s">
        <v>719</v>
      </c>
      <c r="B20" s="42" t="s">
        <v>720</v>
      </c>
    </row>
    <row r="21" spans="1:2" ht="48">
      <c r="A21" s="42" t="s">
        <v>721</v>
      </c>
      <c r="B21" s="42" t="s">
        <v>722</v>
      </c>
    </row>
    <row r="22" spans="1:2" ht="48">
      <c r="A22" s="42" t="s">
        <v>723</v>
      </c>
      <c r="B22" s="42" t="s">
        <v>724</v>
      </c>
    </row>
    <row r="23" spans="1:2" ht="32">
      <c r="A23" s="42" t="s">
        <v>725</v>
      </c>
      <c r="B23" s="18" t="str">
        <f>C23&amp;" "&amp;E22</f>
        <v xml:space="preserve"> </v>
      </c>
    </row>
    <row r="24" spans="1:2" ht="32">
      <c r="A24" s="42" t="s">
        <v>726</v>
      </c>
      <c r="B24" s="18" t="str">
        <f>C24&amp;" "&amp;E23</f>
        <v xml:space="preserve"> </v>
      </c>
    </row>
    <row r="25" spans="1:2" ht="32">
      <c r="A25" s="42" t="s">
        <v>727</v>
      </c>
    </row>
    <row r="26" spans="1:2" ht="16">
      <c r="A26" s="42" t="s">
        <v>728</v>
      </c>
    </row>
    <row r="27" spans="1:2" ht="16">
      <c r="A27" s="42" t="s">
        <v>729</v>
      </c>
    </row>
    <row r="28" spans="1:2" ht="16">
      <c r="A28" s="42" t="s">
        <v>730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2"/>
  <sheetViews>
    <sheetView workbookViewId="0">
      <selection activeCell="A2" sqref="A2"/>
    </sheetView>
  </sheetViews>
  <sheetFormatPr baseColWidth="10" defaultColWidth="8.83203125" defaultRowHeight="15"/>
  <cols>
    <col min="2" max="2" width="46.1640625" customWidth="1"/>
  </cols>
  <sheetData>
    <row r="1" spans="1:5">
      <c r="A1" s="28" t="s">
        <v>731</v>
      </c>
      <c r="B1" s="28" t="s">
        <v>732</v>
      </c>
      <c r="C1" s="28"/>
      <c r="D1" s="28"/>
      <c r="E1" s="28"/>
    </row>
    <row r="2" spans="1:5">
      <c r="A2">
        <v>1</v>
      </c>
      <c r="B2" t="s">
        <v>733</v>
      </c>
    </row>
    <row r="3" spans="1:5">
      <c r="A3">
        <v>2</v>
      </c>
      <c r="B3" t="s">
        <v>734</v>
      </c>
      <c r="E3" t="s">
        <v>735</v>
      </c>
    </row>
    <row r="4" spans="1:5">
      <c r="A4">
        <v>3</v>
      </c>
      <c r="B4" t="s">
        <v>736</v>
      </c>
    </row>
    <row r="5" spans="1:5">
      <c r="A5">
        <v>4</v>
      </c>
      <c r="B5" t="s">
        <v>737</v>
      </c>
    </row>
    <row r="6" spans="1:5">
      <c r="A6">
        <v>5</v>
      </c>
      <c r="B6" t="s">
        <v>738</v>
      </c>
    </row>
    <row r="7" spans="1:5">
      <c r="A7">
        <v>6</v>
      </c>
      <c r="B7" t="s">
        <v>739</v>
      </c>
    </row>
    <row r="8" spans="1:5">
      <c r="A8">
        <v>7</v>
      </c>
      <c r="B8" t="s">
        <v>740</v>
      </c>
    </row>
    <row r="9" spans="1:5">
      <c r="A9">
        <v>8</v>
      </c>
      <c r="B9" t="s">
        <v>741</v>
      </c>
    </row>
    <row r="10" spans="1:5">
      <c r="A10">
        <v>9</v>
      </c>
      <c r="B10" t="s">
        <v>742</v>
      </c>
    </row>
    <row r="11" spans="1:5">
      <c r="A11">
        <v>10</v>
      </c>
      <c r="B11" t="s">
        <v>743</v>
      </c>
    </row>
    <row r="12" spans="1:5">
      <c r="A12">
        <v>11</v>
      </c>
      <c r="B12" t="s">
        <v>744</v>
      </c>
    </row>
    <row r="13" spans="1:5">
      <c r="A13">
        <v>12</v>
      </c>
      <c r="B13" t="s">
        <v>745</v>
      </c>
    </row>
    <row r="14" spans="1:5">
      <c r="A14">
        <v>13</v>
      </c>
      <c r="B14" t="s">
        <v>746</v>
      </c>
    </row>
    <row r="15" spans="1:5">
      <c r="A15">
        <v>14</v>
      </c>
      <c r="B15" t="s">
        <v>747</v>
      </c>
    </row>
    <row r="16" spans="1:5">
      <c r="A16">
        <v>15</v>
      </c>
      <c r="B16" t="s">
        <v>748</v>
      </c>
    </row>
    <row r="17" spans="1:2">
      <c r="A17">
        <v>16</v>
      </c>
      <c r="B17" t="s">
        <v>749</v>
      </c>
    </row>
    <row r="18" spans="1:2">
      <c r="A18">
        <v>17</v>
      </c>
      <c r="B18" t="s">
        <v>750</v>
      </c>
    </row>
    <row r="19" spans="1:2">
      <c r="A19">
        <v>18</v>
      </c>
      <c r="B19" t="s">
        <v>751</v>
      </c>
    </row>
    <row r="20" spans="1:2">
      <c r="A20">
        <v>96</v>
      </c>
      <c r="B20" t="s">
        <v>752</v>
      </c>
    </row>
    <row r="21" spans="1:2">
      <c r="A21">
        <v>-3</v>
      </c>
      <c r="B21" t="s">
        <v>753</v>
      </c>
    </row>
    <row r="22" spans="1:2">
      <c r="A22">
        <v>-2</v>
      </c>
      <c r="B22" t="s">
        <v>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4"/>
  <sheetViews>
    <sheetView workbookViewId="0">
      <selection activeCell="A7" sqref="A7"/>
    </sheetView>
  </sheetViews>
  <sheetFormatPr baseColWidth="10" defaultColWidth="30.33203125" defaultRowHeight="15"/>
  <cols>
    <col min="1" max="16384" width="30.33203125" style="18"/>
  </cols>
  <sheetData>
    <row r="1" spans="1:27" s="20" customFormat="1" ht="16">
      <c r="A1" s="16" t="s">
        <v>755</v>
      </c>
      <c r="B1" s="16" t="s">
        <v>756</v>
      </c>
      <c r="C1" s="16" t="s">
        <v>757</v>
      </c>
      <c r="D1" s="16" t="s">
        <v>758</v>
      </c>
      <c r="E1" s="20" t="s">
        <v>759</v>
      </c>
      <c r="F1" s="20" t="s">
        <v>760</v>
      </c>
      <c r="G1" s="20" t="s">
        <v>761</v>
      </c>
      <c r="H1" s="20" t="s">
        <v>762</v>
      </c>
      <c r="I1" s="20" t="s">
        <v>763</v>
      </c>
      <c r="J1" s="20" t="s">
        <v>764</v>
      </c>
      <c r="K1" s="20" t="s">
        <v>765</v>
      </c>
      <c r="L1" s="20" t="s">
        <v>766</v>
      </c>
      <c r="M1" s="20" t="s">
        <v>767</v>
      </c>
      <c r="N1" s="20" t="s">
        <v>768</v>
      </c>
      <c r="O1" s="20" t="s">
        <v>769</v>
      </c>
      <c r="P1" s="20" t="s">
        <v>770</v>
      </c>
      <c r="Q1" s="20" t="s">
        <v>771</v>
      </c>
      <c r="R1" s="20" t="s">
        <v>772</v>
      </c>
      <c r="S1" s="20" t="s">
        <v>773</v>
      </c>
      <c r="T1" s="20" t="s">
        <v>774</v>
      </c>
      <c r="U1" s="20" t="s">
        <v>775</v>
      </c>
      <c r="V1" s="20" t="s">
        <v>776</v>
      </c>
      <c r="W1" s="20" t="s">
        <v>777</v>
      </c>
      <c r="X1" s="20" t="s">
        <v>778</v>
      </c>
      <c r="Y1" s="20" t="s">
        <v>779</v>
      </c>
      <c r="Z1" s="20" t="s">
        <v>780</v>
      </c>
      <c r="AA1" s="20" t="s">
        <v>781</v>
      </c>
    </row>
    <row r="2" spans="1:27" ht="85.5" customHeight="1">
      <c r="A2" s="17" t="s">
        <v>782</v>
      </c>
      <c r="B2" s="17" t="s">
        <v>783</v>
      </c>
      <c r="C2" s="17" t="s">
        <v>784</v>
      </c>
      <c r="D2" s="17" t="s">
        <v>784</v>
      </c>
      <c r="E2" s="18" t="s">
        <v>785</v>
      </c>
      <c r="F2" s="18" t="s">
        <v>623</v>
      </c>
      <c r="G2" s="18" t="s">
        <v>786</v>
      </c>
      <c r="H2" s="18" t="s">
        <v>787</v>
      </c>
      <c r="I2" s="18" t="s">
        <v>788</v>
      </c>
      <c r="J2" s="18" t="s">
        <v>789</v>
      </c>
      <c r="K2" s="18" t="s">
        <v>785</v>
      </c>
      <c r="L2" s="179" t="s">
        <v>790</v>
      </c>
      <c r="M2" s="18" t="s">
        <v>791</v>
      </c>
      <c r="N2" s="18" t="s">
        <v>792</v>
      </c>
      <c r="O2" s="18" t="s">
        <v>793</v>
      </c>
      <c r="P2" s="18" t="s">
        <v>794</v>
      </c>
      <c r="Q2" s="18" t="s">
        <v>795</v>
      </c>
      <c r="R2" s="18" t="s">
        <v>796</v>
      </c>
      <c r="S2" s="18" t="s">
        <v>797</v>
      </c>
      <c r="T2" s="18" t="s">
        <v>798</v>
      </c>
      <c r="U2" s="18" t="s">
        <v>799</v>
      </c>
      <c r="V2" s="18" t="s">
        <v>800</v>
      </c>
      <c r="W2" s="18" t="s">
        <v>801</v>
      </c>
      <c r="X2" s="18" t="s">
        <v>802</v>
      </c>
      <c r="Y2" s="18" t="s">
        <v>803</v>
      </c>
      <c r="Z2" s="18" t="s">
        <v>804</v>
      </c>
      <c r="AA2" s="18" t="s">
        <v>805</v>
      </c>
    </row>
    <row r="3" spans="1:27" ht="61.5" customHeight="1">
      <c r="A3" s="17" t="s">
        <v>806</v>
      </c>
      <c r="B3" s="17" t="s">
        <v>784</v>
      </c>
      <c r="C3" s="17" t="s">
        <v>807</v>
      </c>
      <c r="D3" s="17" t="s">
        <v>808</v>
      </c>
      <c r="E3" s="18" t="s">
        <v>790</v>
      </c>
      <c r="F3" s="18" t="s">
        <v>809</v>
      </c>
      <c r="G3" s="18" t="s">
        <v>810</v>
      </c>
      <c r="H3" s="18" t="s">
        <v>811</v>
      </c>
      <c r="I3" s="18" t="s">
        <v>812</v>
      </c>
      <c r="J3" s="18" t="s">
        <v>813</v>
      </c>
      <c r="K3" s="18" t="s">
        <v>790</v>
      </c>
      <c r="L3" s="18" t="s">
        <v>814</v>
      </c>
      <c r="M3" s="18" t="s">
        <v>815</v>
      </c>
      <c r="N3" s="18" t="s">
        <v>816</v>
      </c>
      <c r="O3" s="18" t="s">
        <v>790</v>
      </c>
      <c r="P3" s="18" t="s">
        <v>817</v>
      </c>
      <c r="Q3" s="18" t="s">
        <v>818</v>
      </c>
      <c r="R3" s="18" t="s">
        <v>819</v>
      </c>
      <c r="S3" s="18" t="s">
        <v>820</v>
      </c>
      <c r="T3" s="18" t="s">
        <v>821</v>
      </c>
      <c r="U3" s="18" t="s">
        <v>822</v>
      </c>
      <c r="V3" s="18" t="s">
        <v>823</v>
      </c>
      <c r="W3" s="18" t="s">
        <v>824</v>
      </c>
      <c r="X3" s="18" t="s">
        <v>825</v>
      </c>
      <c r="Y3" s="18" t="s">
        <v>826</v>
      </c>
      <c r="Z3" s="18" t="s">
        <v>827</v>
      </c>
      <c r="AA3" s="18" t="s">
        <v>828</v>
      </c>
    </row>
    <row r="4" spans="1:27" ht="54" customHeight="1">
      <c r="A4" s="166" t="s">
        <v>829</v>
      </c>
      <c r="B4" s="17" t="s">
        <v>830</v>
      </c>
      <c r="C4" s="17" t="s">
        <v>831</v>
      </c>
      <c r="D4" s="17" t="s">
        <v>832</v>
      </c>
      <c r="E4" s="18" t="s">
        <v>833</v>
      </c>
      <c r="F4" s="18" t="s">
        <v>628</v>
      </c>
      <c r="G4" s="18" t="s">
        <v>2805</v>
      </c>
      <c r="H4" s="18" t="s">
        <v>834</v>
      </c>
      <c r="I4" s="18" t="s">
        <v>835</v>
      </c>
      <c r="J4" s="18" t="s">
        <v>836</v>
      </c>
      <c r="K4" s="18" t="s">
        <v>837</v>
      </c>
      <c r="L4" s="18" t="s">
        <v>862</v>
      </c>
      <c r="M4" s="18" t="s">
        <v>838</v>
      </c>
      <c r="N4" s="18" t="s">
        <v>623</v>
      </c>
      <c r="O4" s="18" t="s">
        <v>839</v>
      </c>
      <c r="P4" s="18" t="s">
        <v>840</v>
      </c>
      <c r="Q4" s="18" t="s">
        <v>841</v>
      </c>
      <c r="R4" s="18" t="s">
        <v>842</v>
      </c>
      <c r="S4" s="18" t="s">
        <v>843</v>
      </c>
      <c r="T4" s="18" t="s">
        <v>844</v>
      </c>
      <c r="U4" s="18" t="s">
        <v>845</v>
      </c>
      <c r="V4" s="18" t="s">
        <v>846</v>
      </c>
      <c r="W4" s="18" t="s">
        <v>847</v>
      </c>
      <c r="X4" s="18" t="s">
        <v>848</v>
      </c>
      <c r="Y4" s="18" t="s">
        <v>849</v>
      </c>
      <c r="Z4" s="18" t="s">
        <v>850</v>
      </c>
      <c r="AA4" s="18" t="s">
        <v>851</v>
      </c>
    </row>
    <row r="5" spans="1:27" ht="64">
      <c r="A5" s="17" t="s">
        <v>852</v>
      </c>
      <c r="B5" s="17" t="s">
        <v>853</v>
      </c>
      <c r="C5" s="17" t="s">
        <v>854</v>
      </c>
      <c r="D5" s="17" t="s">
        <v>855</v>
      </c>
      <c r="E5" s="17" t="s">
        <v>856</v>
      </c>
      <c r="F5" s="18" t="s">
        <v>857</v>
      </c>
      <c r="G5" s="18" t="s">
        <v>2806</v>
      </c>
      <c r="H5" s="18" t="s">
        <v>858</v>
      </c>
      <c r="I5" s="18" t="s">
        <v>859</v>
      </c>
      <c r="J5" s="18" t="s">
        <v>860</v>
      </c>
      <c r="K5" s="18" t="s">
        <v>861</v>
      </c>
      <c r="M5" s="17" t="s">
        <v>862</v>
      </c>
      <c r="N5" s="18" t="s">
        <v>863</v>
      </c>
      <c r="O5" s="18" t="s">
        <v>864</v>
      </c>
      <c r="P5" s="18" t="s">
        <v>865</v>
      </c>
      <c r="Q5" s="18" t="s">
        <v>866</v>
      </c>
      <c r="R5" s="18" t="s">
        <v>867</v>
      </c>
      <c r="S5" s="18" t="s">
        <v>868</v>
      </c>
      <c r="T5" s="18" t="s">
        <v>869</v>
      </c>
      <c r="U5" s="18" t="s">
        <v>870</v>
      </c>
      <c r="V5" s="18" t="s">
        <v>871</v>
      </c>
      <c r="W5" s="18" t="s">
        <v>872</v>
      </c>
      <c r="X5" s="18" t="s">
        <v>873</v>
      </c>
      <c r="Y5" s="18" t="s">
        <v>874</v>
      </c>
      <c r="Z5" s="18" t="s">
        <v>875</v>
      </c>
      <c r="AA5" s="18" t="s">
        <v>876</v>
      </c>
    </row>
    <row r="6" spans="1:27" ht="54" customHeight="1">
      <c r="A6" s="17" t="s">
        <v>2924</v>
      </c>
      <c r="B6" s="17" t="s">
        <v>877</v>
      </c>
      <c r="C6" s="17" t="s">
        <v>878</v>
      </c>
      <c r="D6" s="17" t="s">
        <v>879</v>
      </c>
      <c r="F6" s="18" t="s">
        <v>880</v>
      </c>
      <c r="H6" s="18" t="s">
        <v>2890</v>
      </c>
      <c r="I6" s="17" t="s">
        <v>862</v>
      </c>
      <c r="J6" s="18" t="s">
        <v>881</v>
      </c>
      <c r="K6" s="18" t="s">
        <v>882</v>
      </c>
      <c r="N6" s="17" t="s">
        <v>862</v>
      </c>
      <c r="O6" s="18" t="s">
        <v>883</v>
      </c>
      <c r="Q6" s="18" t="s">
        <v>884</v>
      </c>
      <c r="R6" s="18" t="s">
        <v>885</v>
      </c>
      <c r="S6" s="18" t="s">
        <v>886</v>
      </c>
      <c r="T6" s="17" t="s">
        <v>862</v>
      </c>
      <c r="U6" s="17" t="s">
        <v>862</v>
      </c>
      <c r="W6" s="18" t="s">
        <v>887</v>
      </c>
      <c r="X6" s="18" t="s">
        <v>888</v>
      </c>
      <c r="Y6" s="18" t="s">
        <v>889</v>
      </c>
      <c r="Z6" s="18" t="s">
        <v>890</v>
      </c>
      <c r="AA6" s="18" t="s">
        <v>891</v>
      </c>
    </row>
    <row r="7" spans="1:27" ht="32">
      <c r="A7" s="17"/>
      <c r="B7" s="19" t="s">
        <v>892</v>
      </c>
      <c r="C7" s="17" t="s">
        <v>893</v>
      </c>
      <c r="D7" s="17" t="s">
        <v>894</v>
      </c>
      <c r="F7" s="18" t="s">
        <v>895</v>
      </c>
      <c r="H7" s="18" t="s">
        <v>2889</v>
      </c>
      <c r="J7" s="18" t="s">
        <v>896</v>
      </c>
      <c r="K7" s="17" t="s">
        <v>862</v>
      </c>
      <c r="O7" s="18" t="s">
        <v>897</v>
      </c>
      <c r="Q7" s="18" t="s">
        <v>898</v>
      </c>
      <c r="R7" s="18" t="s">
        <v>899</v>
      </c>
      <c r="S7" s="18" t="s">
        <v>900</v>
      </c>
      <c r="W7" s="18" t="s">
        <v>901</v>
      </c>
      <c r="X7" s="18" t="s">
        <v>902</v>
      </c>
      <c r="Y7" s="18" t="s">
        <v>903</v>
      </c>
      <c r="Z7" s="18" t="s">
        <v>904</v>
      </c>
      <c r="AA7" s="18" t="s">
        <v>905</v>
      </c>
    </row>
    <row r="8" spans="1:27" ht="57" customHeight="1">
      <c r="A8" s="17"/>
      <c r="B8" s="19" t="s">
        <v>906</v>
      </c>
      <c r="C8" s="17" t="s">
        <v>862</v>
      </c>
      <c r="D8" s="17" t="s">
        <v>862</v>
      </c>
      <c r="F8" s="17" t="s">
        <v>862</v>
      </c>
      <c r="H8" s="17" t="s">
        <v>862</v>
      </c>
      <c r="J8" s="18" t="s">
        <v>907</v>
      </c>
      <c r="O8" s="18" t="s">
        <v>908</v>
      </c>
      <c r="Q8" s="18" t="s">
        <v>909</v>
      </c>
      <c r="R8" s="18" t="s">
        <v>910</v>
      </c>
      <c r="S8" s="17" t="s">
        <v>862</v>
      </c>
      <c r="W8" s="17" t="s">
        <v>862</v>
      </c>
      <c r="Y8" s="18" t="s">
        <v>911</v>
      </c>
      <c r="Z8" s="18" t="s">
        <v>912</v>
      </c>
      <c r="AA8" s="18" t="s">
        <v>913</v>
      </c>
    </row>
    <row r="9" spans="1:27" ht="32">
      <c r="A9" s="17"/>
      <c r="B9" s="19" t="s">
        <v>914</v>
      </c>
      <c r="C9" s="17"/>
      <c r="D9" s="17"/>
      <c r="J9" s="17" t="s">
        <v>862</v>
      </c>
      <c r="O9" s="18" t="s">
        <v>792</v>
      </c>
      <c r="Q9" s="18" t="s">
        <v>915</v>
      </c>
      <c r="R9" s="18" t="s">
        <v>916</v>
      </c>
      <c r="Y9" s="18" t="s">
        <v>917</v>
      </c>
      <c r="Z9" s="18" t="s">
        <v>918</v>
      </c>
      <c r="AA9" s="18" t="s">
        <v>919</v>
      </c>
    </row>
    <row r="10" spans="1:27" ht="42">
      <c r="A10" s="17"/>
      <c r="B10" s="19" t="s">
        <v>920</v>
      </c>
      <c r="C10" s="17"/>
      <c r="D10" s="17"/>
      <c r="O10" s="18" t="s">
        <v>628</v>
      </c>
      <c r="Q10" s="17" t="s">
        <v>862</v>
      </c>
      <c r="R10" s="18" t="s">
        <v>921</v>
      </c>
      <c r="Y10" s="17" t="s">
        <v>862</v>
      </c>
      <c r="Z10" s="18" t="s">
        <v>922</v>
      </c>
      <c r="AA10" s="18" t="s">
        <v>923</v>
      </c>
    </row>
    <row r="11" spans="1:27" ht="32">
      <c r="A11" s="17"/>
      <c r="B11" s="19" t="s">
        <v>924</v>
      </c>
      <c r="C11" s="17"/>
      <c r="D11" s="17"/>
      <c r="O11" s="18" t="s">
        <v>634</v>
      </c>
      <c r="R11" s="17" t="s">
        <v>862</v>
      </c>
      <c r="Z11" s="18" t="s">
        <v>925</v>
      </c>
      <c r="AA11" s="18" t="s">
        <v>926</v>
      </c>
    </row>
    <row r="12" spans="1:27" ht="32">
      <c r="A12" s="17"/>
      <c r="B12" s="19" t="s">
        <v>927</v>
      </c>
      <c r="C12" s="17"/>
      <c r="D12" s="17"/>
      <c r="O12" s="18" t="s">
        <v>928</v>
      </c>
      <c r="Z12" s="18" t="s">
        <v>929</v>
      </c>
      <c r="AA12" s="18" t="s">
        <v>930</v>
      </c>
    </row>
    <row r="13" spans="1:27" ht="32">
      <c r="A13" s="17"/>
      <c r="B13" s="19" t="s">
        <v>931</v>
      </c>
      <c r="C13" s="17"/>
      <c r="D13" s="17"/>
      <c r="Z13" s="18" t="s">
        <v>932</v>
      </c>
      <c r="AA13" s="18" t="s">
        <v>933</v>
      </c>
    </row>
    <row r="14" spans="1:27" ht="64">
      <c r="A14" s="17"/>
      <c r="B14" s="17" t="s">
        <v>862</v>
      </c>
      <c r="C14" s="17"/>
      <c r="D14" s="17"/>
      <c r="Z14" s="18" t="s">
        <v>934</v>
      </c>
    </row>
    <row r="15" spans="1:27" ht="64">
      <c r="Z15" s="18" t="s">
        <v>934</v>
      </c>
    </row>
    <row r="16" spans="1:27" ht="16">
      <c r="Z16" s="18" t="s">
        <v>935</v>
      </c>
    </row>
    <row r="17" spans="26:26" ht="16">
      <c r="Z17" s="18" t="s">
        <v>936</v>
      </c>
    </row>
    <row r="18" spans="26:26" ht="16">
      <c r="Z18" s="18" t="s">
        <v>937</v>
      </c>
    </row>
    <row r="19" spans="26:26" ht="16">
      <c r="Z19" s="18" t="s">
        <v>938</v>
      </c>
    </row>
    <row r="20" spans="26:26" ht="16">
      <c r="Z20" s="18" t="s">
        <v>939</v>
      </c>
    </row>
    <row r="21" spans="26:26" ht="16">
      <c r="Z21" s="18" t="s">
        <v>940</v>
      </c>
    </row>
    <row r="22" spans="26:26" ht="32">
      <c r="Z22" s="18" t="s">
        <v>941</v>
      </c>
    </row>
    <row r="23" spans="26:26" ht="16">
      <c r="Z23" s="18" t="s">
        <v>942</v>
      </c>
    </row>
    <row r="24" spans="26:26" ht="32">
      <c r="Z24" s="18" t="s">
        <v>943</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47"/>
  <sheetViews>
    <sheetView topLeftCell="I1" workbookViewId="0">
      <selection activeCell="N12" sqref="N12:N15"/>
    </sheetView>
  </sheetViews>
  <sheetFormatPr baseColWidth="10" defaultColWidth="8.83203125" defaultRowHeight="15"/>
  <cols>
    <col min="1" max="9" width="20.6640625" customWidth="1"/>
    <col min="10" max="10" width="38.5" customWidth="1"/>
    <col min="11" max="21" width="20.6640625" customWidth="1"/>
    <col min="22" max="22" width="37.6640625" customWidth="1"/>
    <col min="24" max="24" width="47" bestFit="1" customWidth="1"/>
    <col min="25" max="35" width="20.6640625" customWidth="1"/>
    <col min="36" max="36" width="119" customWidth="1"/>
    <col min="37" max="49" width="20.6640625" customWidth="1"/>
  </cols>
  <sheetData>
    <row r="1" spans="1:54" s="29" customFormat="1">
      <c r="A1" s="129" t="s">
        <v>944</v>
      </c>
      <c r="B1" s="129" t="s">
        <v>945</v>
      </c>
      <c r="C1" s="136" t="s">
        <v>946</v>
      </c>
      <c r="D1" s="129" t="s">
        <v>947</v>
      </c>
      <c r="E1" s="129" t="s">
        <v>948</v>
      </c>
      <c r="F1" s="129" t="s">
        <v>949</v>
      </c>
      <c r="G1" s="129" t="s">
        <v>950</v>
      </c>
      <c r="H1" s="129" t="s">
        <v>951</v>
      </c>
      <c r="I1" s="129" t="s">
        <v>952</v>
      </c>
      <c r="J1" s="129" t="s">
        <v>953</v>
      </c>
      <c r="K1" s="129" t="s">
        <v>954</v>
      </c>
      <c r="L1" s="129" t="s">
        <v>955</v>
      </c>
      <c r="M1" s="129" t="s">
        <v>956</v>
      </c>
      <c r="N1" s="129" t="s">
        <v>957</v>
      </c>
      <c r="O1" s="129" t="s">
        <v>958</v>
      </c>
      <c r="P1" s="129" t="s">
        <v>959</v>
      </c>
      <c r="Q1" s="136" t="s">
        <v>951</v>
      </c>
      <c r="R1" s="136"/>
      <c r="S1" s="136" t="s">
        <v>952</v>
      </c>
      <c r="T1" s="136" t="s">
        <v>960</v>
      </c>
      <c r="U1" s="136" t="s">
        <v>961</v>
      </c>
      <c r="V1" s="136" t="s">
        <v>962</v>
      </c>
      <c r="W1" s="136" t="s">
        <v>963</v>
      </c>
      <c r="X1" s="136" t="s">
        <v>964</v>
      </c>
      <c r="Y1" s="136" t="s">
        <v>965</v>
      </c>
      <c r="Z1" s="136" t="s">
        <v>966</v>
      </c>
      <c r="AA1" s="136" t="s">
        <v>967</v>
      </c>
      <c r="AB1" s="136" t="s">
        <v>968</v>
      </c>
      <c r="AC1" s="136" t="s">
        <v>969</v>
      </c>
      <c r="AD1" s="136" t="s">
        <v>970</v>
      </c>
      <c r="AE1" s="136" t="s">
        <v>971</v>
      </c>
      <c r="AF1" s="136" t="s">
        <v>972</v>
      </c>
      <c r="AG1" s="136" t="s">
        <v>973</v>
      </c>
      <c r="AH1" s="136" t="s">
        <v>974</v>
      </c>
      <c r="AI1" s="136" t="s">
        <v>975</v>
      </c>
      <c r="AJ1" s="136" t="s">
        <v>976</v>
      </c>
      <c r="AK1" s="136" t="s">
        <v>977</v>
      </c>
      <c r="AL1" s="136" t="s">
        <v>978</v>
      </c>
      <c r="AM1" s="136" t="s">
        <v>979</v>
      </c>
      <c r="AN1" s="136" t="s">
        <v>980</v>
      </c>
      <c r="AO1" s="136" t="s">
        <v>981</v>
      </c>
      <c r="AP1" s="136" t="s">
        <v>982</v>
      </c>
      <c r="AQ1" s="136" t="s">
        <v>983</v>
      </c>
      <c r="AR1" s="136" t="s">
        <v>984</v>
      </c>
      <c r="AS1" s="136" t="s">
        <v>985</v>
      </c>
      <c r="AT1" s="136" t="s">
        <v>986</v>
      </c>
      <c r="AU1" s="136" t="s">
        <v>987</v>
      </c>
      <c r="AV1" s="136" t="s">
        <v>988</v>
      </c>
      <c r="AW1" s="136" t="s">
        <v>946</v>
      </c>
      <c r="AY1" s="136"/>
      <c r="AZ1" s="136"/>
      <c r="BA1" s="136"/>
      <c r="BB1" s="136"/>
    </row>
    <row r="2" spans="1:54" ht="15" customHeight="1">
      <c r="A2" s="132" t="s">
        <v>989</v>
      </c>
      <c r="B2" s="132" t="s">
        <v>990</v>
      </c>
      <c r="C2" s="132" t="s">
        <v>991</v>
      </c>
      <c r="D2" s="132" t="s">
        <v>992</v>
      </c>
      <c r="E2" t="s">
        <v>993</v>
      </c>
      <c r="F2" s="137" t="s">
        <v>994</v>
      </c>
      <c r="G2" s="138" t="s">
        <v>995</v>
      </c>
      <c r="H2" s="139" t="s">
        <v>996</v>
      </c>
      <c r="I2" s="137" t="s">
        <v>997</v>
      </c>
      <c r="J2" t="s">
        <v>938</v>
      </c>
      <c r="K2" s="132" t="s">
        <v>998</v>
      </c>
      <c r="L2" s="137" t="s">
        <v>999</v>
      </c>
      <c r="M2" t="s">
        <v>1000</v>
      </c>
      <c r="N2" t="s">
        <v>1001</v>
      </c>
      <c r="O2" t="s">
        <v>1002</v>
      </c>
      <c r="P2" t="s">
        <v>1003</v>
      </c>
      <c r="Q2" s="140" t="s">
        <v>1004</v>
      </c>
      <c r="R2" s="132" t="s">
        <v>1005</v>
      </c>
      <c r="S2" s="132" t="s">
        <v>1006</v>
      </c>
      <c r="T2" s="132" t="s">
        <v>1007</v>
      </c>
      <c r="U2" s="132" t="s">
        <v>1008</v>
      </c>
      <c r="V2" s="132" t="s">
        <v>1009</v>
      </c>
      <c r="W2" s="132" t="s">
        <v>1010</v>
      </c>
      <c r="X2" s="132" t="s">
        <v>1011</v>
      </c>
      <c r="Y2" s="132" t="s">
        <v>1012</v>
      </c>
      <c r="Z2" s="132" t="s">
        <v>1013</v>
      </c>
      <c r="AA2" s="132" t="s">
        <v>1014</v>
      </c>
      <c r="AB2" s="132" t="s">
        <v>1015</v>
      </c>
      <c r="AC2" s="132" t="s">
        <v>1016</v>
      </c>
      <c r="AD2" s="132" t="s">
        <v>1017</v>
      </c>
      <c r="AE2" t="s">
        <v>1018</v>
      </c>
      <c r="AF2" s="141" t="s">
        <v>1019</v>
      </c>
      <c r="AG2" s="141" t="s">
        <v>1020</v>
      </c>
      <c r="AH2" s="142" t="s">
        <v>1021</v>
      </c>
      <c r="AI2" s="140" t="s">
        <v>1022</v>
      </c>
      <c r="AJ2" s="140" t="s">
        <v>1001</v>
      </c>
      <c r="AK2" s="132" t="s">
        <v>1023</v>
      </c>
      <c r="AL2" s="132" t="s">
        <v>1024</v>
      </c>
      <c r="AM2" t="s">
        <v>1025</v>
      </c>
      <c r="AN2" s="132" t="s">
        <v>1026</v>
      </c>
      <c r="AO2" s="132" t="s">
        <v>1027</v>
      </c>
      <c r="AP2" t="s">
        <v>1028</v>
      </c>
      <c r="AQ2" s="132" t="s">
        <v>1029</v>
      </c>
      <c r="AR2" s="132" t="s">
        <v>623</v>
      </c>
      <c r="AS2" s="132" t="s">
        <v>1030</v>
      </c>
      <c r="AT2" s="132" t="s">
        <v>1002</v>
      </c>
      <c r="AU2" s="132" t="s">
        <v>1031</v>
      </c>
      <c r="AV2" s="132" t="s">
        <v>1032</v>
      </c>
      <c r="AW2" s="132" t="s">
        <v>1033</v>
      </c>
      <c r="AY2" s="132"/>
      <c r="AZ2" s="132"/>
      <c r="BA2" s="132"/>
      <c r="BB2" s="132"/>
    </row>
    <row r="3" spans="1:54">
      <c r="A3" s="132" t="s">
        <v>1034</v>
      </c>
      <c r="B3" t="s">
        <v>1035</v>
      </c>
      <c r="C3" s="132" t="s">
        <v>1036</v>
      </c>
      <c r="D3" s="132" t="s">
        <v>1037</v>
      </c>
      <c r="E3" t="s">
        <v>1038</v>
      </c>
      <c r="F3" s="137" t="s">
        <v>1039</v>
      </c>
      <c r="G3" s="138" t="s">
        <v>1040</v>
      </c>
      <c r="H3" s="139" t="s">
        <v>1041</v>
      </c>
      <c r="I3" s="143" t="s">
        <v>1042</v>
      </c>
      <c r="J3" s="144" t="s">
        <v>1043</v>
      </c>
      <c r="K3" s="132" t="s">
        <v>1044</v>
      </c>
      <c r="L3" s="137" t="s">
        <v>1045</v>
      </c>
      <c r="M3" t="s">
        <v>1046</v>
      </c>
      <c r="N3" t="s">
        <v>790</v>
      </c>
      <c r="O3" t="s">
        <v>1047</v>
      </c>
      <c r="P3" t="s">
        <v>1048</v>
      </c>
      <c r="Q3" s="140" t="s">
        <v>1049</v>
      </c>
      <c r="R3" s="132" t="s">
        <v>1050</v>
      </c>
      <c r="S3" s="132" t="s">
        <v>1051</v>
      </c>
      <c r="T3" s="132" t="s">
        <v>1052</v>
      </c>
      <c r="U3" s="132" t="s">
        <v>1053</v>
      </c>
      <c r="V3" s="132" t="s">
        <v>790</v>
      </c>
      <c r="W3" s="132" t="s">
        <v>1054</v>
      </c>
      <c r="X3" s="132" t="s">
        <v>1055</v>
      </c>
      <c r="Y3" s="132" t="s">
        <v>1056</v>
      </c>
      <c r="Z3" s="132" t="s">
        <v>1057</v>
      </c>
      <c r="AA3" s="132" t="s">
        <v>1058</v>
      </c>
      <c r="AB3" s="132" t="s">
        <v>1059</v>
      </c>
      <c r="AC3" s="132" t="s">
        <v>1060</v>
      </c>
      <c r="AD3" s="132" t="s">
        <v>1061</v>
      </c>
      <c r="AE3" t="s">
        <v>1062</v>
      </c>
      <c r="AF3" s="145" t="s">
        <v>1063</v>
      </c>
      <c r="AG3" s="141" t="s">
        <v>1063</v>
      </c>
      <c r="AH3" s="142" t="s">
        <v>1064</v>
      </c>
      <c r="AI3" s="140" t="s">
        <v>1065</v>
      </c>
      <c r="AJ3" s="140" t="s">
        <v>790</v>
      </c>
      <c r="AK3" s="132" t="s">
        <v>1066</v>
      </c>
      <c r="AL3" s="132" t="s">
        <v>1067</v>
      </c>
      <c r="AM3" t="s">
        <v>1068</v>
      </c>
      <c r="AN3" s="132" t="s">
        <v>1069</v>
      </c>
      <c r="AO3" s="132" t="s">
        <v>1070</v>
      </c>
      <c r="AP3" t="s">
        <v>1071</v>
      </c>
      <c r="AQ3" s="132" t="s">
        <v>1072</v>
      </c>
      <c r="AR3" t="s">
        <v>1073</v>
      </c>
      <c r="AS3" s="132" t="s">
        <v>1074</v>
      </c>
      <c r="AT3" s="132" t="s">
        <v>1047</v>
      </c>
      <c r="AU3" s="132" t="s">
        <v>1075</v>
      </c>
      <c r="AV3" s="132" t="s">
        <v>1076</v>
      </c>
      <c r="AW3" s="132" t="s">
        <v>1077</v>
      </c>
      <c r="AY3" s="132"/>
      <c r="AZ3" s="132"/>
      <c r="BA3" s="132"/>
      <c r="BB3" s="132"/>
    </row>
    <row r="4" spans="1:54" ht="15" customHeight="1">
      <c r="A4" s="132" t="s">
        <v>1078</v>
      </c>
      <c r="B4" t="s">
        <v>1079</v>
      </c>
      <c r="C4" s="132" t="s">
        <v>1080</v>
      </c>
      <c r="D4" s="132" t="s">
        <v>1081</v>
      </c>
      <c r="E4" t="s">
        <v>1082</v>
      </c>
      <c r="F4" s="137" t="s">
        <v>1083</v>
      </c>
      <c r="G4" s="138" t="s">
        <v>1084</v>
      </c>
      <c r="H4" s="139" t="s">
        <v>1085</v>
      </c>
      <c r="I4" s="137" t="s">
        <v>1086</v>
      </c>
      <c r="J4" t="s">
        <v>624</v>
      </c>
      <c r="K4" s="132" t="s">
        <v>1087</v>
      </c>
      <c r="L4" s="137" t="s">
        <v>1088</v>
      </c>
      <c r="M4" t="s">
        <v>1089</v>
      </c>
      <c r="N4" t="s">
        <v>1090</v>
      </c>
      <c r="O4" t="s">
        <v>1091</v>
      </c>
      <c r="P4" t="s">
        <v>1092</v>
      </c>
      <c r="Q4" s="140" t="s">
        <v>1093</v>
      </c>
      <c r="R4" s="132" t="s">
        <v>1094</v>
      </c>
      <c r="S4" s="132" t="s">
        <v>1095</v>
      </c>
      <c r="T4" s="132" t="s">
        <v>1096</v>
      </c>
      <c r="U4" s="132" t="s">
        <v>1097</v>
      </c>
      <c r="V4" s="132" t="s">
        <v>1098</v>
      </c>
      <c r="W4" s="132" t="s">
        <v>1099</v>
      </c>
      <c r="X4" s="132" t="s">
        <v>1100</v>
      </c>
      <c r="Y4" s="132" t="s">
        <v>1101</v>
      </c>
      <c r="Z4" s="132" t="s">
        <v>1102</v>
      </c>
      <c r="AA4" s="132" t="s">
        <v>1103</v>
      </c>
      <c r="AB4" s="132" t="s">
        <v>1104</v>
      </c>
      <c r="AC4" s="132" t="s">
        <v>1105</v>
      </c>
      <c r="AD4" s="132" t="s">
        <v>1106</v>
      </c>
      <c r="AE4" t="s">
        <v>1107</v>
      </c>
      <c r="AF4" s="145" t="s">
        <v>628</v>
      </c>
      <c r="AG4" s="145" t="s">
        <v>628</v>
      </c>
      <c r="AH4" s="142" t="s">
        <v>1108</v>
      </c>
      <c r="AI4" s="140" t="s">
        <v>1109</v>
      </c>
      <c r="AJ4" s="140" t="s">
        <v>1110</v>
      </c>
      <c r="AK4" s="132" t="s">
        <v>1111</v>
      </c>
      <c r="AL4" s="132" t="s">
        <v>1112</v>
      </c>
      <c r="AM4" t="s">
        <v>1113</v>
      </c>
      <c r="AN4" s="132" t="s">
        <v>1114</v>
      </c>
      <c r="AO4" s="132" t="s">
        <v>1115</v>
      </c>
      <c r="AP4" t="s">
        <v>1020</v>
      </c>
      <c r="AQ4" s="132" t="s">
        <v>1116</v>
      </c>
      <c r="AR4" s="146" t="s">
        <v>1117</v>
      </c>
      <c r="AS4" s="132" t="s">
        <v>1118</v>
      </c>
      <c r="AT4" s="132" t="s">
        <v>1091</v>
      </c>
      <c r="AU4" s="132" t="s">
        <v>1119</v>
      </c>
      <c r="AV4" s="132" t="s">
        <v>1120</v>
      </c>
      <c r="AW4" s="132" t="s">
        <v>1121</v>
      </c>
      <c r="AY4" s="132"/>
      <c r="AZ4" s="132"/>
      <c r="BA4" s="132"/>
      <c r="BB4" s="132"/>
    </row>
    <row r="5" spans="1:54">
      <c r="A5" s="132" t="s">
        <v>1122</v>
      </c>
      <c r="B5" t="s">
        <v>1123</v>
      </c>
      <c r="C5" s="132" t="s">
        <v>1124</v>
      </c>
      <c r="D5" s="132" t="s">
        <v>1125</v>
      </c>
      <c r="E5" t="s">
        <v>1126</v>
      </c>
      <c r="G5" s="138" t="s">
        <v>1127</v>
      </c>
      <c r="H5" s="139" t="s">
        <v>1128</v>
      </c>
      <c r="I5" s="138" t="s">
        <v>1085</v>
      </c>
      <c r="J5" t="s">
        <v>1129</v>
      </c>
      <c r="K5" s="132" t="s">
        <v>1130</v>
      </c>
      <c r="L5" s="137" t="s">
        <v>1131</v>
      </c>
      <c r="M5" t="s">
        <v>1132</v>
      </c>
      <c r="N5" t="s">
        <v>928</v>
      </c>
      <c r="O5" t="s">
        <v>1133</v>
      </c>
      <c r="P5" t="s">
        <v>1134</v>
      </c>
      <c r="Q5" s="140" t="s">
        <v>1135</v>
      </c>
      <c r="R5" s="132" t="s">
        <v>1136</v>
      </c>
      <c r="S5" s="132" t="s">
        <v>1137</v>
      </c>
      <c r="T5" s="132" t="s">
        <v>1138</v>
      </c>
      <c r="U5" s="132" t="s">
        <v>938</v>
      </c>
      <c r="V5" s="132" t="s">
        <v>1139</v>
      </c>
      <c r="W5" s="132" t="s">
        <v>1140</v>
      </c>
      <c r="X5" s="132" t="s">
        <v>1141</v>
      </c>
      <c r="Y5" s="132" t="s">
        <v>1142</v>
      </c>
      <c r="Z5" s="132" t="s">
        <v>1143</v>
      </c>
      <c r="AA5" s="132" t="s">
        <v>1144</v>
      </c>
      <c r="AB5" s="132" t="s">
        <v>1145</v>
      </c>
      <c r="AC5" s="132" t="s">
        <v>1146</v>
      </c>
      <c r="AD5" s="132" t="s">
        <v>1147</v>
      </c>
      <c r="AE5" t="s">
        <v>1148</v>
      </c>
      <c r="AF5" s="145" t="s">
        <v>1149</v>
      </c>
      <c r="AG5" s="141" t="s">
        <v>1150</v>
      </c>
      <c r="AH5" s="142" t="s">
        <v>1151</v>
      </c>
      <c r="AI5" s="140" t="s">
        <v>1152</v>
      </c>
      <c r="AJ5" s="140" t="s">
        <v>1153</v>
      </c>
      <c r="AK5" s="132" t="s">
        <v>1154</v>
      </c>
      <c r="AL5" s="132" t="s">
        <v>1155</v>
      </c>
      <c r="AM5" t="s">
        <v>1156</v>
      </c>
      <c r="AN5" s="132" t="s">
        <v>1157</v>
      </c>
      <c r="AO5" s="132" t="s">
        <v>1158</v>
      </c>
      <c r="AP5" t="s">
        <v>634</v>
      </c>
      <c r="AQ5" s="132" t="s">
        <v>1159</v>
      </c>
      <c r="AR5" t="s">
        <v>1160</v>
      </c>
      <c r="AS5" s="132" t="s">
        <v>1161</v>
      </c>
      <c r="AT5" s="132" t="s">
        <v>1133</v>
      </c>
      <c r="AU5" s="132" t="s">
        <v>1162</v>
      </c>
      <c r="AV5" s="132" t="s">
        <v>1163</v>
      </c>
      <c r="AW5" s="132" t="s">
        <v>1164</v>
      </c>
      <c r="AY5" s="132"/>
      <c r="AZ5" s="132"/>
      <c r="BA5" s="132"/>
      <c r="BB5" s="132"/>
    </row>
    <row r="6" spans="1:54" ht="15" customHeight="1">
      <c r="A6" s="132" t="s">
        <v>1165</v>
      </c>
      <c r="B6" t="s">
        <v>1166</v>
      </c>
      <c r="C6" s="132" t="s">
        <v>1167</v>
      </c>
      <c r="D6" s="132" t="s">
        <v>1168</v>
      </c>
      <c r="E6" t="s">
        <v>1169</v>
      </c>
      <c r="G6" s="138" t="s">
        <v>1170</v>
      </c>
      <c r="H6" s="139" t="s">
        <v>1171</v>
      </c>
      <c r="I6" s="138" t="s">
        <v>1172</v>
      </c>
      <c r="J6" s="137" t="s">
        <v>1173</v>
      </c>
      <c r="K6" s="132" t="s">
        <v>1174</v>
      </c>
      <c r="L6" s="137" t="s">
        <v>1175</v>
      </c>
      <c r="M6" t="s">
        <v>1176</v>
      </c>
      <c r="N6" s="130" t="s">
        <v>1019</v>
      </c>
      <c r="O6" t="s">
        <v>1177</v>
      </c>
      <c r="P6" t="s">
        <v>1178</v>
      </c>
      <c r="Q6" s="140" t="s">
        <v>1179</v>
      </c>
      <c r="R6" s="132" t="s">
        <v>1180</v>
      </c>
      <c r="S6" s="132"/>
      <c r="T6" s="132"/>
      <c r="U6" s="132" t="s">
        <v>1181</v>
      </c>
      <c r="V6" s="132" t="s">
        <v>1182</v>
      </c>
      <c r="W6" s="132" t="s">
        <v>1183</v>
      </c>
      <c r="X6" s="132" t="s">
        <v>1184</v>
      </c>
      <c r="Y6" s="132" t="s">
        <v>1185</v>
      </c>
      <c r="Z6" s="132" t="s">
        <v>1186</v>
      </c>
      <c r="AA6" s="132" t="s">
        <v>1187</v>
      </c>
      <c r="AB6" s="132" t="s">
        <v>1188</v>
      </c>
      <c r="AC6" s="132" t="s">
        <v>1189</v>
      </c>
      <c r="AD6" s="132" t="s">
        <v>1190</v>
      </c>
      <c r="AE6" t="s">
        <v>1191</v>
      </c>
      <c r="AF6" s="145" t="s">
        <v>1192</v>
      </c>
      <c r="AG6" s="132"/>
      <c r="AH6" s="132"/>
      <c r="AI6" s="140" t="s">
        <v>1193</v>
      </c>
      <c r="AJ6" s="140" t="s">
        <v>1194</v>
      </c>
      <c r="AK6" s="132" t="s">
        <v>1195</v>
      </c>
      <c r="AL6" s="132" t="s">
        <v>1196</v>
      </c>
      <c r="AM6" t="s">
        <v>1197</v>
      </c>
      <c r="AN6" s="132" t="s">
        <v>1198</v>
      </c>
      <c r="AO6" s="132" t="s">
        <v>1199</v>
      </c>
      <c r="AP6" t="s">
        <v>628</v>
      </c>
      <c r="AQ6" s="132" t="s">
        <v>1200</v>
      </c>
      <c r="AR6" t="s">
        <v>1201</v>
      </c>
      <c r="AS6" s="132" t="s">
        <v>1202</v>
      </c>
      <c r="AT6" s="132" t="s">
        <v>1177</v>
      </c>
      <c r="AU6" s="132" t="s">
        <v>1203</v>
      </c>
      <c r="AV6" s="132" t="s">
        <v>1204</v>
      </c>
      <c r="AW6" s="132" t="s">
        <v>1205</v>
      </c>
      <c r="AY6" s="132"/>
      <c r="AZ6" s="132"/>
      <c r="BA6" s="132"/>
      <c r="BB6" s="132"/>
    </row>
    <row r="7" spans="1:54">
      <c r="A7" s="132" t="s">
        <v>1206</v>
      </c>
      <c r="B7" t="s">
        <v>1207</v>
      </c>
      <c r="C7" s="132" t="s">
        <v>1208</v>
      </c>
      <c r="D7" s="132" t="s">
        <v>1209</v>
      </c>
      <c r="E7" t="s">
        <v>1210</v>
      </c>
      <c r="G7" s="138" t="s">
        <v>1211</v>
      </c>
      <c r="H7" s="139" t="s">
        <v>1212</v>
      </c>
      <c r="I7" s="137" t="s">
        <v>1213</v>
      </c>
      <c r="J7" s="147" t="s">
        <v>1214</v>
      </c>
      <c r="K7" s="132" t="s">
        <v>1215</v>
      </c>
      <c r="L7" s="137" t="s">
        <v>1216</v>
      </c>
      <c r="M7" t="s">
        <v>1217</v>
      </c>
      <c r="N7" t="s">
        <v>2853</v>
      </c>
      <c r="O7" t="s">
        <v>1218</v>
      </c>
      <c r="P7" t="s">
        <v>1219</v>
      </c>
      <c r="Q7" s="140" t="s">
        <v>1220</v>
      </c>
      <c r="R7" s="132" t="s">
        <v>1221</v>
      </c>
      <c r="S7" s="132"/>
      <c r="T7" s="132"/>
      <c r="U7" s="132" t="s">
        <v>1222</v>
      </c>
      <c r="V7" s="132" t="s">
        <v>1223</v>
      </c>
      <c r="W7" s="132" t="s">
        <v>1224</v>
      </c>
      <c r="X7" s="132" t="s">
        <v>1225</v>
      </c>
      <c r="Y7" s="132" t="s">
        <v>790</v>
      </c>
      <c r="Z7" s="132" t="s">
        <v>1226</v>
      </c>
      <c r="AA7" s="132" t="s">
        <v>1227</v>
      </c>
      <c r="AB7" s="132" t="s">
        <v>1228</v>
      </c>
      <c r="AC7" s="132" t="s">
        <v>1229</v>
      </c>
      <c r="AD7" s="132" t="s">
        <v>1230</v>
      </c>
      <c r="AE7" t="s">
        <v>1231</v>
      </c>
      <c r="AF7" s="145" t="s">
        <v>1232</v>
      </c>
      <c r="AG7" s="132"/>
      <c r="AH7" s="132"/>
      <c r="AI7" s="140" t="s">
        <v>1233</v>
      </c>
      <c r="AJ7" s="140" t="s">
        <v>1020</v>
      </c>
      <c r="AK7" s="132" t="s">
        <v>1234</v>
      </c>
      <c r="AL7" s="132" t="s">
        <v>1235</v>
      </c>
      <c r="AM7" t="s">
        <v>1236</v>
      </c>
      <c r="AN7" s="132" t="s">
        <v>1237</v>
      </c>
      <c r="AO7" s="132"/>
      <c r="AP7" t="s">
        <v>1149</v>
      </c>
      <c r="AQ7" s="132" t="s">
        <v>1199</v>
      </c>
      <c r="AR7" t="s">
        <v>1238</v>
      </c>
      <c r="AS7" s="132" t="s">
        <v>1239</v>
      </c>
      <c r="AT7" s="132" t="s">
        <v>1240</v>
      </c>
      <c r="AU7" s="132" t="s">
        <v>1241</v>
      </c>
      <c r="AV7" s="132" t="s">
        <v>1242</v>
      </c>
      <c r="AW7" s="132" t="s">
        <v>1243</v>
      </c>
      <c r="AY7" s="132"/>
      <c r="AZ7" s="132"/>
      <c r="BA7" s="132"/>
      <c r="BB7" s="132"/>
    </row>
    <row r="8" spans="1:54" ht="15" customHeight="1">
      <c r="A8" s="132"/>
      <c r="B8" t="s">
        <v>1244</v>
      </c>
      <c r="C8" s="132" t="s">
        <v>1245</v>
      </c>
      <c r="D8" s="132" t="s">
        <v>1246</v>
      </c>
      <c r="E8" t="s">
        <v>1247</v>
      </c>
      <c r="H8" s="139" t="s">
        <v>1213</v>
      </c>
      <c r="J8" s="147" t="s">
        <v>1248</v>
      </c>
      <c r="K8" s="132" t="s">
        <v>1249</v>
      </c>
      <c r="L8" s="137" t="s">
        <v>1250</v>
      </c>
      <c r="N8" t="s">
        <v>628</v>
      </c>
      <c r="O8" t="s">
        <v>1251</v>
      </c>
      <c r="P8" t="s">
        <v>1252</v>
      </c>
      <c r="Q8" s="140" t="s">
        <v>1253</v>
      </c>
      <c r="R8" s="132" t="s">
        <v>1254</v>
      </c>
      <c r="S8" s="132"/>
      <c r="T8" s="132"/>
      <c r="U8" s="132" t="s">
        <v>1255</v>
      </c>
      <c r="V8" s="132" t="s">
        <v>1199</v>
      </c>
      <c r="W8" s="132" t="s">
        <v>1256</v>
      </c>
      <c r="X8" s="132" t="s">
        <v>1257</v>
      </c>
      <c r="Y8" s="148" t="s">
        <v>1199</v>
      </c>
      <c r="Z8" s="132" t="s">
        <v>1258</v>
      </c>
      <c r="AA8" s="132" t="s">
        <v>1199</v>
      </c>
      <c r="AB8" s="132" t="s">
        <v>1259</v>
      </c>
      <c r="AC8" s="132" t="s">
        <v>1260</v>
      </c>
      <c r="AD8" s="132"/>
      <c r="AE8" t="s">
        <v>1261</v>
      </c>
      <c r="AF8" s="145" t="s">
        <v>1262</v>
      </c>
      <c r="AG8" s="132"/>
      <c r="AH8" s="132"/>
      <c r="AI8" s="140" t="s">
        <v>1263</v>
      </c>
      <c r="AJ8" s="140" t="s">
        <v>1264</v>
      </c>
      <c r="AK8" s="132" t="s">
        <v>1265</v>
      </c>
      <c r="AL8" s="132"/>
      <c r="AM8" s="132"/>
      <c r="AN8" s="132" t="s">
        <v>1266</v>
      </c>
      <c r="AO8" s="132"/>
      <c r="AP8" t="s">
        <v>1267</v>
      </c>
      <c r="AQ8" s="132"/>
      <c r="AR8" t="s">
        <v>1268</v>
      </c>
      <c r="AS8" s="132" t="s">
        <v>1269</v>
      </c>
      <c r="AT8" s="132" t="s">
        <v>1270</v>
      </c>
      <c r="AU8" s="132" t="s">
        <v>1199</v>
      </c>
      <c r="AV8" s="132" t="s">
        <v>1271</v>
      </c>
      <c r="AW8" s="132" t="s">
        <v>1272</v>
      </c>
      <c r="AY8" s="132"/>
      <c r="AZ8" s="132"/>
      <c r="BA8" s="132"/>
      <c r="BB8" s="132"/>
    </row>
    <row r="9" spans="1:54">
      <c r="A9" s="132"/>
      <c r="B9" s="149" t="s">
        <v>1273</v>
      </c>
      <c r="C9" s="132" t="s">
        <v>1274</v>
      </c>
      <c r="D9" s="132" t="s">
        <v>1275</v>
      </c>
      <c r="E9" t="s">
        <v>1276</v>
      </c>
      <c r="J9" s="147" t="s">
        <v>1277</v>
      </c>
      <c r="K9" s="132" t="s">
        <v>1278</v>
      </c>
      <c r="L9" s="137" t="s">
        <v>1279</v>
      </c>
      <c r="N9" t="s">
        <v>2854</v>
      </c>
      <c r="O9" t="s">
        <v>1280</v>
      </c>
      <c r="P9" t="s">
        <v>1281</v>
      </c>
      <c r="Q9" s="140" t="s">
        <v>1282</v>
      </c>
      <c r="R9" s="132" t="s">
        <v>1272</v>
      </c>
      <c r="S9" s="132"/>
      <c r="T9" s="132"/>
      <c r="U9" s="132" t="s">
        <v>1199</v>
      </c>
      <c r="V9" s="132"/>
      <c r="W9" s="132" t="s">
        <v>1283</v>
      </c>
      <c r="X9" s="132" t="s">
        <v>1284</v>
      </c>
      <c r="Y9" s="132"/>
      <c r="Z9" s="132" t="s">
        <v>1285</v>
      </c>
      <c r="AA9" s="132"/>
      <c r="AB9" s="132" t="s">
        <v>1286</v>
      </c>
      <c r="AC9" s="132" t="s">
        <v>1199</v>
      </c>
      <c r="AD9" s="132"/>
      <c r="AE9" t="s">
        <v>1287</v>
      </c>
      <c r="AF9" s="145" t="s">
        <v>1288</v>
      </c>
      <c r="AG9" s="132"/>
      <c r="AH9" s="132"/>
      <c r="AI9" s="140" t="s">
        <v>1289</v>
      </c>
      <c r="AJ9" s="140" t="s">
        <v>1290</v>
      </c>
      <c r="AK9" s="132" t="s">
        <v>1291</v>
      </c>
      <c r="AL9" s="132"/>
      <c r="AM9" s="132"/>
      <c r="AN9" s="132"/>
      <c r="AO9" s="132"/>
      <c r="AP9" t="s">
        <v>1292</v>
      </c>
      <c r="AQ9" s="132"/>
      <c r="AR9" t="s">
        <v>1293</v>
      </c>
      <c r="AS9" s="132" t="s">
        <v>1294</v>
      </c>
      <c r="AT9" s="132" t="s">
        <v>1295</v>
      </c>
      <c r="AU9" s="132" t="s">
        <v>1296</v>
      </c>
      <c r="AV9" s="132" t="s">
        <v>1297</v>
      </c>
      <c r="AW9" s="132" t="s">
        <v>1296</v>
      </c>
      <c r="AY9" s="132"/>
      <c r="AZ9" s="132"/>
      <c r="BA9" s="132"/>
      <c r="BB9" s="132"/>
    </row>
    <row r="10" spans="1:54" ht="15" customHeight="1">
      <c r="A10" s="132"/>
      <c r="B10" t="s">
        <v>1298</v>
      </c>
      <c r="C10" s="132" t="s">
        <v>1299</v>
      </c>
      <c r="D10" s="132"/>
      <c r="E10" t="s">
        <v>1300</v>
      </c>
      <c r="J10" s="132"/>
      <c r="K10" s="132" t="s">
        <v>1301</v>
      </c>
      <c r="L10" s="137" t="s">
        <v>1302</v>
      </c>
      <c r="N10" t="s">
        <v>1303</v>
      </c>
      <c r="O10" t="s">
        <v>1304</v>
      </c>
      <c r="Q10" s="132"/>
      <c r="R10" s="132"/>
      <c r="S10" s="132"/>
      <c r="T10" s="132"/>
      <c r="U10" s="132"/>
      <c r="V10" s="132" t="s">
        <v>1305</v>
      </c>
      <c r="W10" s="132" t="s">
        <v>1306</v>
      </c>
      <c r="X10" s="132"/>
      <c r="Y10" s="132" t="s">
        <v>1272</v>
      </c>
      <c r="Z10" s="132"/>
      <c r="AA10" s="132" t="s">
        <v>1307</v>
      </c>
      <c r="AB10" s="132"/>
      <c r="AD10" t="s">
        <v>1308</v>
      </c>
      <c r="AE10" s="145" t="s">
        <v>1309</v>
      </c>
      <c r="AF10" s="132"/>
      <c r="AG10" s="132"/>
      <c r="AH10" s="140" t="s">
        <v>1310</v>
      </c>
      <c r="AI10" s="140" t="s">
        <v>628</v>
      </c>
      <c r="AJ10" s="132" t="s">
        <v>1311</v>
      </c>
      <c r="AK10" s="132"/>
      <c r="AL10" s="132"/>
      <c r="AM10" s="132"/>
      <c r="AN10" s="132"/>
      <c r="AO10" t="s">
        <v>1312</v>
      </c>
      <c r="AP10" s="132"/>
      <c r="AQ10" t="s">
        <v>1313</v>
      </c>
      <c r="AR10" s="132" t="s">
        <v>1314</v>
      </c>
      <c r="AS10" s="132" t="s">
        <v>1199</v>
      </c>
      <c r="AT10" s="132"/>
      <c r="AU10" s="132" t="s">
        <v>1315</v>
      </c>
      <c r="AV10" s="132"/>
      <c r="AX10" s="132"/>
      <c r="AY10" s="132"/>
      <c r="AZ10" s="132"/>
      <c r="BA10" s="132"/>
    </row>
    <row r="11" spans="1:54">
      <c r="B11" t="s">
        <v>1316</v>
      </c>
      <c r="C11" s="132" t="s">
        <v>1317</v>
      </c>
      <c r="D11" s="132"/>
      <c r="E11" t="s">
        <v>1318</v>
      </c>
      <c r="J11" s="132"/>
      <c r="K11" s="132" t="s">
        <v>1319</v>
      </c>
      <c r="L11" s="137" t="s">
        <v>1320</v>
      </c>
      <c r="N11" t="s">
        <v>1321</v>
      </c>
      <c r="O11" t="s">
        <v>1322</v>
      </c>
      <c r="Q11" s="132"/>
      <c r="R11" s="132"/>
      <c r="S11" s="132"/>
      <c r="T11" s="132"/>
      <c r="U11" s="132"/>
      <c r="V11" s="132"/>
      <c r="W11" s="132" t="s">
        <v>1296</v>
      </c>
      <c r="X11" s="132"/>
      <c r="Y11" s="132"/>
      <c r="Z11" s="132"/>
      <c r="AA11" s="132" t="s">
        <v>1022</v>
      </c>
      <c r="AB11" s="132"/>
      <c r="AD11" t="s">
        <v>1323</v>
      </c>
      <c r="AE11" s="145" t="s">
        <v>1324</v>
      </c>
      <c r="AF11" s="132"/>
      <c r="AG11" s="132"/>
      <c r="AH11" s="140" t="s">
        <v>1325</v>
      </c>
      <c r="AI11" s="140"/>
      <c r="AJ11" s="132"/>
      <c r="AK11" s="132"/>
      <c r="AL11" s="132"/>
      <c r="AM11" s="132"/>
      <c r="AN11" s="132"/>
      <c r="AO11" t="s">
        <v>1326</v>
      </c>
      <c r="AP11" s="132"/>
      <c r="AQ11" s="132" t="s">
        <v>1199</v>
      </c>
      <c r="AR11" s="132" t="s">
        <v>1327</v>
      </c>
      <c r="AT11" s="132"/>
      <c r="AU11" s="132" t="s">
        <v>1328</v>
      </c>
      <c r="AV11" s="132"/>
      <c r="AX11" s="132"/>
      <c r="AY11" s="132"/>
      <c r="AZ11" s="132"/>
      <c r="BA11" s="132"/>
    </row>
    <row r="12" spans="1:54" ht="15" customHeight="1">
      <c r="B12" t="s">
        <v>1329</v>
      </c>
      <c r="C12" s="132" t="s">
        <v>1330</v>
      </c>
      <c r="D12" s="132"/>
      <c r="E12" t="s">
        <v>1331</v>
      </c>
      <c r="J12" s="132"/>
      <c r="K12" s="132" t="s">
        <v>1332</v>
      </c>
      <c r="L12" s="137" t="s">
        <v>1333</v>
      </c>
      <c r="N12" t="s">
        <v>2855</v>
      </c>
      <c r="O12" t="s">
        <v>1334</v>
      </c>
      <c r="Q12" s="132"/>
      <c r="R12" s="132"/>
      <c r="S12" s="132"/>
      <c r="T12" s="132"/>
      <c r="U12" s="132"/>
      <c r="V12" s="132"/>
      <c r="W12" s="132"/>
      <c r="X12" s="132"/>
      <c r="Y12" s="132"/>
      <c r="Z12" s="132"/>
      <c r="AA12" s="132" t="s">
        <v>1065</v>
      </c>
      <c r="AB12" s="132"/>
      <c r="AD12" s="132" t="s">
        <v>1199</v>
      </c>
      <c r="AE12" s="132"/>
      <c r="AF12" s="132"/>
      <c r="AG12" s="132"/>
      <c r="AH12" s="140" t="s">
        <v>1335</v>
      </c>
      <c r="AI12" s="140"/>
      <c r="AJ12" s="132"/>
      <c r="AK12" s="132"/>
      <c r="AL12" s="132"/>
      <c r="AM12" s="132"/>
      <c r="AN12" s="132"/>
      <c r="AO12" t="s">
        <v>1336</v>
      </c>
      <c r="AP12" s="132"/>
      <c r="AQ12" s="132"/>
      <c r="AR12" s="132" t="s">
        <v>1337</v>
      </c>
      <c r="AS12" s="132"/>
      <c r="AT12" s="132"/>
      <c r="AU12" s="132"/>
      <c r="AV12" s="132"/>
      <c r="AX12" s="132"/>
      <c r="AY12" s="132"/>
      <c r="AZ12" s="132"/>
      <c r="BA12" s="132"/>
    </row>
    <row r="13" spans="1:54">
      <c r="C13" t="s">
        <v>1338</v>
      </c>
      <c r="N13" t="s">
        <v>2856</v>
      </c>
      <c r="O13" t="s">
        <v>1339</v>
      </c>
      <c r="AA13" s="132" t="s">
        <v>1340</v>
      </c>
      <c r="AB13" s="132"/>
      <c r="AH13" s="140" t="s">
        <v>1341</v>
      </c>
      <c r="AI13" s="140"/>
      <c r="AO13" t="s">
        <v>1342</v>
      </c>
      <c r="AQ13" s="132"/>
      <c r="AR13" s="132" t="s">
        <v>1199</v>
      </c>
      <c r="AT13" s="132"/>
      <c r="AU13" s="132"/>
      <c r="AV13" s="132"/>
      <c r="AX13" s="132"/>
      <c r="AY13" s="132"/>
      <c r="AZ13" s="132"/>
      <c r="BA13" s="132"/>
    </row>
    <row r="14" spans="1:54">
      <c r="C14" t="s">
        <v>1343</v>
      </c>
      <c r="N14" t="s">
        <v>2857</v>
      </c>
      <c r="O14" t="s">
        <v>1344</v>
      </c>
      <c r="AA14" s="132" t="s">
        <v>1345</v>
      </c>
      <c r="AB14" s="132"/>
      <c r="AH14" s="140" t="s">
        <v>1346</v>
      </c>
      <c r="AI14" s="140"/>
      <c r="AO14" t="s">
        <v>1347</v>
      </c>
      <c r="AQ14" s="132"/>
      <c r="AT14" s="132"/>
      <c r="AU14" s="132"/>
      <c r="AV14" s="132"/>
      <c r="AX14" s="132"/>
      <c r="AY14" s="132"/>
      <c r="AZ14" s="132"/>
      <c r="BA14" s="132"/>
    </row>
    <row r="15" spans="1:54">
      <c r="B15" s="38"/>
      <c r="C15" s="38"/>
      <c r="D15" s="38"/>
      <c r="J15" s="38"/>
      <c r="L15" s="38"/>
      <c r="N15" t="s">
        <v>2858</v>
      </c>
      <c r="O15" t="s">
        <v>1348</v>
      </c>
      <c r="Q15" s="38"/>
      <c r="R15" s="38"/>
      <c r="S15" s="38"/>
      <c r="T15" s="38"/>
      <c r="U15" s="38"/>
      <c r="V15" s="38"/>
      <c r="W15" s="38"/>
      <c r="X15" s="38"/>
      <c r="Y15" s="38"/>
      <c r="Z15" s="38"/>
      <c r="AA15" s="38"/>
      <c r="AB15" s="38"/>
      <c r="AD15" s="38"/>
      <c r="AE15" s="38"/>
      <c r="AF15" s="38"/>
      <c r="AG15" s="38"/>
      <c r="AH15" s="140" t="s">
        <v>1349</v>
      </c>
      <c r="AI15" s="140"/>
      <c r="AJ15" s="38"/>
      <c r="AK15" s="38"/>
      <c r="AL15" s="38"/>
      <c r="AM15" s="38"/>
      <c r="AN15" s="38"/>
      <c r="AO15" t="s">
        <v>1350</v>
      </c>
      <c r="AP15" s="38"/>
      <c r="AQ15" s="132"/>
      <c r="AR15" s="38"/>
      <c r="AS15" s="38"/>
      <c r="AT15" s="132"/>
      <c r="AU15" s="132"/>
      <c r="AV15" s="132"/>
      <c r="AX15" s="132"/>
      <c r="AY15" s="132"/>
      <c r="AZ15" s="132"/>
      <c r="BA15" s="132"/>
    </row>
    <row r="16" spans="1:54">
      <c r="AH16" s="140" t="s">
        <v>1351</v>
      </c>
      <c r="AI16" s="140"/>
      <c r="AO16" t="s">
        <v>1352</v>
      </c>
      <c r="AT16" s="132"/>
      <c r="AU16" s="132"/>
      <c r="AV16" s="132"/>
      <c r="AX16" s="132"/>
      <c r="AY16" s="132"/>
      <c r="AZ16" s="132"/>
      <c r="BA16" s="132"/>
    </row>
    <row r="17" spans="1:53">
      <c r="AH17" s="140" t="s">
        <v>1353</v>
      </c>
      <c r="AI17" s="140"/>
      <c r="AO17" s="132" t="s">
        <v>1199</v>
      </c>
      <c r="AT17" s="132"/>
      <c r="AU17" s="132"/>
      <c r="AV17" s="132"/>
      <c r="AX17" s="132"/>
      <c r="AY17" s="132"/>
      <c r="AZ17" s="132"/>
      <c r="BA17" s="132"/>
    </row>
    <row r="18" spans="1:53">
      <c r="AH18" s="140" t="s">
        <v>1354</v>
      </c>
      <c r="AI18" s="140"/>
    </row>
    <row r="19" spans="1:53">
      <c r="AH19" s="140" t="s">
        <v>1355</v>
      </c>
      <c r="AI19" s="140"/>
    </row>
    <row r="20" spans="1:53">
      <c r="N20" s="148"/>
      <c r="AH20" s="140" t="s">
        <v>1356</v>
      </c>
      <c r="AI20" s="140"/>
    </row>
    <row r="21" spans="1:53">
      <c r="AH21" s="140" t="s">
        <v>1357</v>
      </c>
      <c r="AI21" s="140"/>
    </row>
    <row r="22" spans="1:53">
      <c r="AH22" s="140" t="s">
        <v>1358</v>
      </c>
      <c r="AI22" s="140"/>
    </row>
    <row r="23" spans="1:53">
      <c r="AH23" s="140" t="s">
        <v>1359</v>
      </c>
      <c r="AI23" s="140"/>
    </row>
    <row r="24" spans="1:53">
      <c r="AH24" s="140" t="s">
        <v>1360</v>
      </c>
      <c r="AI24" s="140"/>
    </row>
    <row r="25" spans="1:53">
      <c r="N25" s="129"/>
      <c r="AH25" s="140" t="s">
        <v>1199</v>
      </c>
      <c r="AI25" s="140"/>
    </row>
    <row r="26" spans="1:53" s="129" customFormat="1">
      <c r="A26"/>
      <c r="C26" s="129" t="s">
        <v>1361</v>
      </c>
      <c r="D26" s="129" t="s">
        <v>1362</v>
      </c>
      <c r="E26" s="129" t="s">
        <v>1363</v>
      </c>
      <c r="F26" s="129" t="s">
        <v>1364</v>
      </c>
      <c r="G26" s="129" t="s">
        <v>965</v>
      </c>
      <c r="H26" s="129" t="s">
        <v>1365</v>
      </c>
      <c r="I26" s="129" t="s">
        <v>1366</v>
      </c>
      <c r="J26" s="129" t="s">
        <v>1367</v>
      </c>
      <c r="M26" s="129" t="s">
        <v>1368</v>
      </c>
      <c r="N26"/>
    </row>
    <row r="27" spans="1:53" ht="15" customHeight="1">
      <c r="B27" t="s">
        <v>1369</v>
      </c>
      <c r="C27" s="137" t="s">
        <v>1370</v>
      </c>
      <c r="E27" s="137" t="s">
        <v>1371</v>
      </c>
      <c r="F27" s="137" t="s">
        <v>1372</v>
      </c>
      <c r="G27" t="s">
        <v>1373</v>
      </c>
      <c r="H27" t="s">
        <v>1374</v>
      </c>
      <c r="I27" t="s">
        <v>1375</v>
      </c>
      <c r="J27" s="137" t="s">
        <v>1376</v>
      </c>
      <c r="M27" s="137" t="s">
        <v>1377</v>
      </c>
      <c r="Q27" s="137"/>
    </row>
    <row r="28" spans="1:53">
      <c r="B28" t="s">
        <v>1378</v>
      </c>
      <c r="C28" s="137" t="s">
        <v>1379</v>
      </c>
      <c r="E28" s="137" t="s">
        <v>1380</v>
      </c>
      <c r="F28" s="137" t="s">
        <v>1381</v>
      </c>
      <c r="G28" t="s">
        <v>1382</v>
      </c>
      <c r="H28" t="s">
        <v>1383</v>
      </c>
      <c r="I28" t="s">
        <v>1384</v>
      </c>
      <c r="J28" t="s">
        <v>1385</v>
      </c>
      <c r="M28" s="137" t="s">
        <v>1386</v>
      </c>
    </row>
    <row r="29" spans="1:53" ht="15" customHeight="1">
      <c r="B29" t="s">
        <v>1387</v>
      </c>
      <c r="C29" s="137" t="s">
        <v>1000</v>
      </c>
      <c r="E29" s="137" t="s">
        <v>1388</v>
      </c>
      <c r="F29" s="137" t="s">
        <v>1389</v>
      </c>
      <c r="G29" t="s">
        <v>1390</v>
      </c>
      <c r="H29" t="s">
        <v>1145</v>
      </c>
      <c r="I29" s="139" t="s">
        <v>1391</v>
      </c>
      <c r="J29" t="s">
        <v>1392</v>
      </c>
      <c r="M29" s="137" t="s">
        <v>1393</v>
      </c>
    </row>
    <row r="30" spans="1:53" ht="15.75" customHeight="1">
      <c r="B30" t="s">
        <v>1394</v>
      </c>
      <c r="C30" s="137" t="s">
        <v>1395</v>
      </c>
      <c r="E30" s="137" t="s">
        <v>1396</v>
      </c>
      <c r="F30" s="137"/>
      <c r="H30" t="s">
        <v>1397</v>
      </c>
      <c r="I30" t="s">
        <v>1130</v>
      </c>
      <c r="J30" t="s">
        <v>1398</v>
      </c>
      <c r="M30" s="137" t="s">
        <v>1399</v>
      </c>
      <c r="Q30" s="137"/>
    </row>
    <row r="31" spans="1:53" ht="15" customHeight="1">
      <c r="B31" t="s">
        <v>1400</v>
      </c>
      <c r="C31" s="137" t="s">
        <v>1401</v>
      </c>
      <c r="E31" s="137" t="s">
        <v>1402</v>
      </c>
      <c r="F31" s="137"/>
      <c r="H31" t="s">
        <v>1403</v>
      </c>
      <c r="I31" t="s">
        <v>1174</v>
      </c>
      <c r="J31" t="s">
        <v>1404</v>
      </c>
      <c r="M31" s="137" t="s">
        <v>1405</v>
      </c>
    </row>
    <row r="32" spans="1:53">
      <c r="B32" t="s">
        <v>1406</v>
      </c>
      <c r="C32" t="s">
        <v>1302</v>
      </c>
      <c r="E32" s="137" t="s">
        <v>787</v>
      </c>
      <c r="H32" t="s">
        <v>1407</v>
      </c>
      <c r="I32" t="s">
        <v>1215</v>
      </c>
      <c r="J32" t="s">
        <v>1408</v>
      </c>
    </row>
    <row r="33" spans="2:17" ht="15" customHeight="1">
      <c r="B33" t="s">
        <v>1409</v>
      </c>
      <c r="C33" s="137" t="s">
        <v>1320</v>
      </c>
      <c r="E33" s="137" t="s">
        <v>1410</v>
      </c>
      <c r="H33" t="s">
        <v>1411</v>
      </c>
      <c r="I33" t="s">
        <v>1249</v>
      </c>
      <c r="J33" t="s">
        <v>1412</v>
      </c>
      <c r="Q33" s="132"/>
    </row>
    <row r="34" spans="2:17">
      <c r="B34" t="s">
        <v>1413</v>
      </c>
      <c r="C34" s="137" t="s">
        <v>1414</v>
      </c>
      <c r="E34" s="137" t="s">
        <v>1415</v>
      </c>
      <c r="I34" t="s">
        <v>1278</v>
      </c>
      <c r="J34" t="s">
        <v>1416</v>
      </c>
      <c r="Q34" s="132"/>
    </row>
    <row r="35" spans="2:17" ht="15" customHeight="1">
      <c r="B35" t="s">
        <v>1417</v>
      </c>
      <c r="C35" s="137" t="s">
        <v>1418</v>
      </c>
      <c r="E35" s="137" t="s">
        <v>1419</v>
      </c>
      <c r="I35" t="s">
        <v>1420</v>
      </c>
      <c r="Q35" s="132"/>
    </row>
    <row r="36" spans="2:17">
      <c r="I36" t="s">
        <v>1421</v>
      </c>
      <c r="Q36" s="132"/>
    </row>
    <row r="37" spans="2:17" ht="15" customHeight="1">
      <c r="Q37" s="132"/>
    </row>
    <row r="38" spans="2:17">
      <c r="Q38" s="132"/>
    </row>
    <row r="39" spans="2:17">
      <c r="Q39" s="132"/>
    </row>
    <row r="40" spans="2:17">
      <c r="Q40" s="132"/>
    </row>
    <row r="41" spans="2:17">
      <c r="Q41" s="132"/>
    </row>
    <row r="42" spans="2:17">
      <c r="Q42" s="132"/>
    </row>
    <row r="43" spans="2:17">
      <c r="Q43" s="132"/>
    </row>
    <row r="44" spans="2:17">
      <c r="Q44" s="132"/>
    </row>
    <row r="47" spans="2:17" ht="16.5" customHeight="1"/>
  </sheetData>
  <hyperlinks>
    <hyperlink ref="AV1" r:id="rId1" display="LN@" xr:uid="{00000000-0004-0000-0400-000000000000}"/>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4"/>
  <sheetViews>
    <sheetView workbookViewId="0">
      <selection activeCell="A13" sqref="A13"/>
    </sheetView>
  </sheetViews>
  <sheetFormatPr baseColWidth="10" defaultColWidth="8.83203125" defaultRowHeight="15"/>
  <sheetData>
    <row r="1" spans="1:5">
      <c r="A1" s="28" t="s">
        <v>731</v>
      </c>
      <c r="B1" s="28" t="s">
        <v>732</v>
      </c>
      <c r="C1" s="28"/>
      <c r="D1" s="28"/>
      <c r="E1" s="28"/>
    </row>
    <row r="2" spans="1:5">
      <c r="A2">
        <v>1</v>
      </c>
      <c r="B2" t="s">
        <v>1422</v>
      </c>
    </row>
    <row r="3" spans="1:5">
      <c r="A3">
        <v>2</v>
      </c>
      <c r="B3" t="s">
        <v>1423</v>
      </c>
    </row>
    <row r="4" spans="1:5">
      <c r="A4">
        <v>3</v>
      </c>
      <c r="B4" t="s">
        <v>1424</v>
      </c>
    </row>
    <row r="5" spans="1:5">
      <c r="A5">
        <v>4</v>
      </c>
      <c r="B5" t="s">
        <v>938</v>
      </c>
    </row>
    <row r="6" spans="1:5">
      <c r="A6">
        <v>5</v>
      </c>
      <c r="B6" t="s">
        <v>1425</v>
      </c>
    </row>
    <row r="7" spans="1:5">
      <c r="A7">
        <v>6</v>
      </c>
      <c r="B7" t="s">
        <v>1426</v>
      </c>
    </row>
    <row r="8" spans="1:5">
      <c r="A8">
        <v>7</v>
      </c>
      <c r="B8" t="s">
        <v>1427</v>
      </c>
    </row>
    <row r="9" spans="1:5">
      <c r="A9">
        <v>8</v>
      </c>
      <c r="B9" t="s">
        <v>1428</v>
      </c>
    </row>
    <row r="10" spans="1:5">
      <c r="A10">
        <v>9</v>
      </c>
      <c r="B10" t="s">
        <v>1429</v>
      </c>
    </row>
    <row r="11" spans="1:5">
      <c r="A11">
        <v>10</v>
      </c>
      <c r="B11" t="s">
        <v>1430</v>
      </c>
    </row>
    <row r="12" spans="1:5">
      <c r="A12">
        <v>96</v>
      </c>
      <c r="B12" t="s">
        <v>752</v>
      </c>
    </row>
    <row r="13" spans="1:5">
      <c r="A13">
        <v>-3</v>
      </c>
      <c r="B13" t="s">
        <v>753</v>
      </c>
    </row>
    <row r="14" spans="1:5">
      <c r="A14">
        <v>-2</v>
      </c>
      <c r="B14" t="s">
        <v>754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75"/>
  <sheetViews>
    <sheetView topLeftCell="A110" zoomScale="90" zoomScaleNormal="90" workbookViewId="0">
      <selection activeCell="B114" sqref="B114"/>
    </sheetView>
  </sheetViews>
  <sheetFormatPr baseColWidth="10" defaultColWidth="8.83203125" defaultRowHeight="14"/>
  <cols>
    <col min="1" max="1" width="14.83203125" style="2" customWidth="1"/>
    <col min="2" max="2" width="101.33203125" style="2" customWidth="1"/>
    <col min="3" max="3" width="34.83203125" style="2" customWidth="1"/>
    <col min="4" max="4" width="11.33203125" style="2" customWidth="1"/>
    <col min="5" max="5" width="8.83203125" style="2" customWidth="1"/>
    <col min="6" max="6" width="25.83203125" style="2" customWidth="1"/>
    <col min="7" max="7" width="24.83203125" style="2" customWidth="1"/>
    <col min="8" max="8" width="27.1640625" style="40" bestFit="1" customWidth="1"/>
    <col min="9" max="16384" width="8.83203125" style="2"/>
  </cols>
  <sheetData>
    <row r="1" spans="1:11">
      <c r="A1" s="243" t="s">
        <v>1431</v>
      </c>
      <c r="B1" s="243"/>
      <c r="C1" s="243"/>
      <c r="D1" s="243"/>
      <c r="E1" s="243"/>
      <c r="F1" s="243"/>
      <c r="G1" s="243"/>
      <c r="H1" s="61" t="s">
        <v>1432</v>
      </c>
      <c r="I1" s="1"/>
      <c r="J1" s="1"/>
      <c r="K1" s="1"/>
    </row>
    <row r="2" spans="1:11">
      <c r="A2" s="250" t="s">
        <v>1</v>
      </c>
      <c r="B2" s="250"/>
      <c r="C2" s="250"/>
      <c r="D2" s="250"/>
      <c r="E2" s="250"/>
      <c r="F2" s="250"/>
      <c r="G2" s="250"/>
      <c r="H2" s="43"/>
      <c r="I2" s="1"/>
      <c r="J2" s="1"/>
      <c r="K2" s="1"/>
    </row>
    <row r="3" spans="1:11">
      <c r="A3" s="3" t="s">
        <v>2</v>
      </c>
      <c r="B3" s="4" t="s">
        <v>3</v>
      </c>
      <c r="C3" s="4" t="s">
        <v>4</v>
      </c>
      <c r="D3" s="3" t="s">
        <v>5</v>
      </c>
      <c r="E3" s="3" t="s">
        <v>6</v>
      </c>
      <c r="F3" s="4" t="s">
        <v>7</v>
      </c>
      <c r="G3" s="3" t="s">
        <v>8</v>
      </c>
      <c r="H3" s="43"/>
      <c r="I3" s="1"/>
      <c r="J3" s="1"/>
      <c r="K3" s="1"/>
    </row>
    <row r="4" spans="1:11" s="1" customFormat="1">
      <c r="A4" s="5" t="s">
        <v>9</v>
      </c>
      <c r="B4" s="6" t="s">
        <v>10</v>
      </c>
      <c r="C4" s="6" t="s">
        <v>11</v>
      </c>
      <c r="D4" s="5" t="s">
        <v>12</v>
      </c>
      <c r="E4" s="5">
        <v>10</v>
      </c>
      <c r="F4" s="7" t="s">
        <v>13</v>
      </c>
      <c r="G4" s="5" t="str">
        <f t="shared" ref="G4:G12" si="0">A4</f>
        <v>Serial</v>
      </c>
      <c r="H4" s="43"/>
    </row>
    <row r="5" spans="1:11" s="1" customFormat="1">
      <c r="A5" s="5" t="s">
        <v>16</v>
      </c>
      <c r="B5" s="44" t="s">
        <v>1433</v>
      </c>
      <c r="C5" s="44" t="s">
        <v>1434</v>
      </c>
      <c r="D5" s="5" t="s">
        <v>12</v>
      </c>
      <c r="E5" s="5">
        <v>6</v>
      </c>
      <c r="F5" s="7" t="s">
        <v>13</v>
      </c>
      <c r="G5" s="5" t="str">
        <f t="shared" si="0"/>
        <v>AA1</v>
      </c>
      <c r="H5" s="43"/>
    </row>
    <row r="6" spans="1:11" s="1" customFormat="1">
      <c r="A6" s="5" t="s">
        <v>19</v>
      </c>
      <c r="B6" s="6" t="s">
        <v>1435</v>
      </c>
      <c r="C6" s="44" t="s">
        <v>1436</v>
      </c>
      <c r="D6" s="5" t="s">
        <v>12</v>
      </c>
      <c r="E6" s="5">
        <v>5</v>
      </c>
      <c r="F6" s="7" t="s">
        <v>13</v>
      </c>
      <c r="G6" s="5" t="str">
        <f t="shared" si="0"/>
        <v>AA2</v>
      </c>
      <c r="H6" s="43"/>
    </row>
    <row r="7" spans="1:11" s="1" customFormat="1">
      <c r="A7" s="5" t="s">
        <v>22</v>
      </c>
      <c r="B7" s="6" t="s">
        <v>1437</v>
      </c>
      <c r="C7" s="44" t="s">
        <v>1438</v>
      </c>
      <c r="D7" s="5" t="s">
        <v>12</v>
      </c>
      <c r="E7" s="5">
        <v>5</v>
      </c>
      <c r="F7" s="7" t="s">
        <v>13</v>
      </c>
      <c r="G7" s="5" t="str">
        <f t="shared" si="0"/>
        <v>AA3</v>
      </c>
      <c r="H7" s="43"/>
    </row>
    <row r="8" spans="1:11" s="1" customFormat="1" ht="12.75" customHeight="1">
      <c r="A8" s="5" t="s">
        <v>23</v>
      </c>
      <c r="B8" s="6" t="s">
        <v>1439</v>
      </c>
      <c r="C8" s="44" t="s">
        <v>1440</v>
      </c>
      <c r="D8" s="5" t="s">
        <v>12</v>
      </c>
      <c r="E8" s="5">
        <v>5</v>
      </c>
      <c r="F8" s="7" t="s">
        <v>13</v>
      </c>
      <c r="G8" s="5" t="str">
        <f t="shared" si="0"/>
        <v>AA4</v>
      </c>
      <c r="H8" s="43"/>
    </row>
    <row r="9" spans="1:11" s="1" customFormat="1">
      <c r="A9" s="5" t="s">
        <v>24</v>
      </c>
      <c r="B9" s="6" t="s">
        <v>1441</v>
      </c>
      <c r="C9" s="44" t="s">
        <v>1442</v>
      </c>
      <c r="D9" s="5" t="s">
        <v>12</v>
      </c>
      <c r="E9" s="5">
        <v>5</v>
      </c>
      <c r="F9" s="7" t="s">
        <v>13</v>
      </c>
      <c r="G9" s="5" t="str">
        <f t="shared" si="0"/>
        <v>AA5</v>
      </c>
      <c r="H9" s="43"/>
    </row>
    <row r="10" spans="1:11" s="1" customFormat="1">
      <c r="A10" s="5" t="s">
        <v>26</v>
      </c>
      <c r="B10" s="6" t="s">
        <v>1443</v>
      </c>
      <c r="C10" s="6" t="s">
        <v>11</v>
      </c>
      <c r="D10" s="5" t="s">
        <v>12</v>
      </c>
      <c r="E10" s="5">
        <v>5</v>
      </c>
      <c r="F10" s="7" t="s">
        <v>13</v>
      </c>
      <c r="G10" s="5" t="str">
        <f t="shared" si="0"/>
        <v>AA6</v>
      </c>
      <c r="H10" s="43"/>
    </row>
    <row r="11" spans="1:11" s="1" customFormat="1" ht="28">
      <c r="A11" s="5" t="s">
        <v>28</v>
      </c>
      <c r="B11" s="6" t="s">
        <v>1444</v>
      </c>
      <c r="C11" s="6" t="s">
        <v>30</v>
      </c>
      <c r="D11" s="5" t="s">
        <v>31</v>
      </c>
      <c r="E11" s="5">
        <v>1</v>
      </c>
      <c r="F11" s="7" t="s">
        <v>13</v>
      </c>
      <c r="G11" s="5" t="str">
        <f t="shared" si="0"/>
        <v>AA7</v>
      </c>
      <c r="H11" s="43"/>
    </row>
    <row r="12" spans="1:11" s="1" customFormat="1" ht="112">
      <c r="A12" s="5" t="s">
        <v>32</v>
      </c>
      <c r="B12" s="6" t="str">
        <f>A12&amp;".Settlement Size"</f>
        <v>AA8.Settlement Size</v>
      </c>
      <c r="C12" s="6" t="s">
        <v>1445</v>
      </c>
      <c r="D12" s="5" t="s">
        <v>12</v>
      </c>
      <c r="E12" s="5">
        <v>1</v>
      </c>
      <c r="F12" s="7" t="s">
        <v>13</v>
      </c>
      <c r="G12" s="5" t="str">
        <f t="shared" si="0"/>
        <v>AA8</v>
      </c>
      <c r="H12" s="43"/>
    </row>
    <row r="13" spans="1:11" s="1" customFormat="1">
      <c r="A13" s="5" t="s">
        <v>1446</v>
      </c>
      <c r="B13" s="6" t="s">
        <v>1447</v>
      </c>
      <c r="C13" s="1" t="s">
        <v>11</v>
      </c>
      <c r="D13" s="5" t="s">
        <v>12</v>
      </c>
      <c r="E13" s="5">
        <v>16</v>
      </c>
      <c r="F13" s="7" t="s">
        <v>13</v>
      </c>
      <c r="G13" s="5" t="str">
        <f>SUBSTITUTE(A13,".","_")</f>
        <v>AA9_1</v>
      </c>
      <c r="H13" s="43"/>
    </row>
    <row r="14" spans="1:11" s="1" customFormat="1">
      <c r="A14" s="5" t="s">
        <v>1448</v>
      </c>
      <c r="B14" s="6" t="s">
        <v>1449</v>
      </c>
      <c r="C14" s="1" t="s">
        <v>11</v>
      </c>
      <c r="D14" s="5" t="s">
        <v>12</v>
      </c>
      <c r="E14" s="5">
        <v>16</v>
      </c>
      <c r="F14" s="7" t="s">
        <v>13</v>
      </c>
      <c r="G14" s="5" t="str">
        <f>SUBSTITUTE(A14,".","_")</f>
        <v>AA9_2</v>
      </c>
      <c r="H14" s="43"/>
    </row>
    <row r="15" spans="1:11" s="1" customFormat="1">
      <c r="A15" s="5" t="s">
        <v>37</v>
      </c>
      <c r="B15" s="6" t="s">
        <v>1450</v>
      </c>
      <c r="C15" s="1" t="s">
        <v>11</v>
      </c>
      <c r="D15" s="5" t="s">
        <v>12</v>
      </c>
      <c r="E15" s="5">
        <v>15</v>
      </c>
      <c r="F15" s="7" t="s">
        <v>13</v>
      </c>
      <c r="G15" s="5" t="str">
        <f>A15</f>
        <v>AA10</v>
      </c>
      <c r="H15" s="43"/>
    </row>
    <row r="16" spans="1:11" s="1" customFormat="1">
      <c r="A16" s="5" t="s">
        <v>39</v>
      </c>
      <c r="B16" s="6" t="str">
        <f>A16&amp;".Respondent Name"</f>
        <v>AA11.Respondent Name</v>
      </c>
      <c r="C16" s="1" t="s">
        <v>11</v>
      </c>
      <c r="D16" s="5" t="s">
        <v>43</v>
      </c>
      <c r="E16" s="5">
        <v>50</v>
      </c>
      <c r="F16" s="7" t="s">
        <v>13</v>
      </c>
      <c r="G16" s="5" t="str">
        <f>A16</f>
        <v>AA11</v>
      </c>
      <c r="H16" s="43"/>
    </row>
    <row r="17" spans="1:8" s="1" customFormat="1">
      <c r="A17" s="5" t="s">
        <v>1451</v>
      </c>
      <c r="B17" s="6" t="s">
        <v>1452</v>
      </c>
      <c r="C17" s="1" t="s">
        <v>11</v>
      </c>
      <c r="D17" s="5" t="s">
        <v>34</v>
      </c>
      <c r="E17" s="45">
        <v>10</v>
      </c>
      <c r="F17" s="7" t="s">
        <v>13</v>
      </c>
      <c r="G17" s="5" t="s">
        <v>1451</v>
      </c>
      <c r="H17" s="43"/>
    </row>
    <row r="18" spans="1:8" s="1" customFormat="1" ht="98">
      <c r="A18" s="22" t="s">
        <v>1453</v>
      </c>
      <c r="B18" s="23" t="s">
        <v>1454</v>
      </c>
      <c r="C18" s="23" t="s">
        <v>1455</v>
      </c>
      <c r="D18" s="22" t="s">
        <v>31</v>
      </c>
      <c r="E18" s="22">
        <v>1</v>
      </c>
      <c r="F18" s="21" t="s">
        <v>13</v>
      </c>
      <c r="G18" s="22" t="s">
        <v>1453</v>
      </c>
      <c r="H18" s="43"/>
    </row>
    <row r="19" spans="1:8" s="1" customFormat="1">
      <c r="A19" s="5" t="s">
        <v>1456</v>
      </c>
      <c r="B19" s="6" t="s">
        <v>1457</v>
      </c>
      <c r="C19" s="1" t="s">
        <v>11</v>
      </c>
      <c r="D19" s="5" t="s">
        <v>34</v>
      </c>
      <c r="E19" s="5">
        <v>5</v>
      </c>
      <c r="F19" s="7" t="s">
        <v>13</v>
      </c>
      <c r="G19" s="5" t="s">
        <v>1456</v>
      </c>
      <c r="H19" s="43"/>
    </row>
    <row r="20" spans="1:8" s="1" customFormat="1">
      <c r="A20" s="5" t="s">
        <v>1458</v>
      </c>
      <c r="B20" s="6" t="s">
        <v>1459</v>
      </c>
      <c r="C20" s="1" t="s">
        <v>11</v>
      </c>
      <c r="D20" s="5" t="s">
        <v>34</v>
      </c>
      <c r="E20" s="45">
        <v>5</v>
      </c>
      <c r="F20" s="7" t="s">
        <v>13</v>
      </c>
      <c r="G20" s="5" t="s">
        <v>1458</v>
      </c>
      <c r="H20" s="43"/>
    </row>
    <row r="21" spans="1:8" s="1" customFormat="1">
      <c r="A21" s="5" t="s">
        <v>1460</v>
      </c>
      <c r="B21" s="6" t="s">
        <v>1461</v>
      </c>
      <c r="C21" s="1" t="s">
        <v>11</v>
      </c>
      <c r="D21" s="5" t="s">
        <v>34</v>
      </c>
      <c r="E21" s="5">
        <v>5</v>
      </c>
      <c r="F21" s="7" t="s">
        <v>13</v>
      </c>
      <c r="G21" s="5" t="s">
        <v>1460</v>
      </c>
      <c r="H21" s="43"/>
    </row>
    <row r="22" spans="1:8" s="1" customFormat="1">
      <c r="A22" s="5" t="s">
        <v>1462</v>
      </c>
      <c r="B22" s="6" t="s">
        <v>1463</v>
      </c>
      <c r="C22" s="1" t="s">
        <v>11</v>
      </c>
      <c r="D22" s="5" t="s">
        <v>12</v>
      </c>
      <c r="E22" s="45">
        <v>10</v>
      </c>
      <c r="F22" s="7" t="s">
        <v>13</v>
      </c>
      <c r="G22" s="5" t="str">
        <f>SUBSTITUTE(A22,".","_")</f>
        <v>AB6_1</v>
      </c>
      <c r="H22" s="43"/>
    </row>
    <row r="23" spans="1:8" s="1" customFormat="1">
      <c r="A23" s="5" t="s">
        <v>1464</v>
      </c>
      <c r="B23" s="6" t="s">
        <v>1465</v>
      </c>
      <c r="C23" s="1" t="s">
        <v>11</v>
      </c>
      <c r="D23" s="5" t="s">
        <v>43</v>
      </c>
      <c r="E23" s="5">
        <v>50</v>
      </c>
      <c r="F23" s="7" t="s">
        <v>13</v>
      </c>
      <c r="G23" s="5" t="str">
        <f>SUBSTITUTE(A23,".","_")</f>
        <v>AB6_2</v>
      </c>
      <c r="H23" s="43"/>
    </row>
    <row r="24" spans="1:8" s="1" customFormat="1">
      <c r="A24" s="5" t="s">
        <v>1466</v>
      </c>
      <c r="B24" s="6" t="s">
        <v>1467</v>
      </c>
      <c r="C24" s="1" t="s">
        <v>11</v>
      </c>
      <c r="D24" s="5" t="s">
        <v>12</v>
      </c>
      <c r="E24" s="45">
        <v>10</v>
      </c>
      <c r="F24" s="7" t="s">
        <v>13</v>
      </c>
      <c r="G24" s="5" t="str">
        <f>SUBSTITUTE(A24,".","_")</f>
        <v>AB6_3</v>
      </c>
      <c r="H24" s="43"/>
    </row>
    <row r="25" spans="1:8" s="1" customFormat="1">
      <c r="A25" s="5" t="s">
        <v>1468</v>
      </c>
      <c r="B25" s="6" t="s">
        <v>1469</v>
      </c>
      <c r="C25" s="1" t="s">
        <v>11</v>
      </c>
      <c r="D25" s="5" t="s">
        <v>43</v>
      </c>
      <c r="E25" s="5">
        <v>50</v>
      </c>
      <c r="F25" s="7" t="s">
        <v>13</v>
      </c>
      <c r="G25" s="5" t="str">
        <f>SUBSTITUTE(A25,".","_")</f>
        <v>AB6_4</v>
      </c>
      <c r="H25" s="43"/>
    </row>
    <row r="26" spans="1:8" s="1" customFormat="1" ht="28">
      <c r="A26" s="5" t="s">
        <v>1470</v>
      </c>
      <c r="B26" s="6" t="s">
        <v>1471</v>
      </c>
      <c r="C26" s="6" t="s">
        <v>86</v>
      </c>
      <c r="D26" s="5" t="s">
        <v>31</v>
      </c>
      <c r="E26" s="5">
        <v>1</v>
      </c>
      <c r="F26" s="7" t="s">
        <v>13</v>
      </c>
      <c r="G26" s="5" t="s">
        <v>1470</v>
      </c>
      <c r="H26" s="43"/>
    </row>
    <row r="27" spans="1:8">
      <c r="A27" s="263" t="s">
        <v>47</v>
      </c>
      <c r="B27" s="263"/>
      <c r="C27" s="263"/>
      <c r="D27" s="180"/>
      <c r="E27" s="180"/>
      <c r="F27" s="180"/>
      <c r="G27" s="180"/>
    </row>
    <row r="28" spans="1:8">
      <c r="A28" s="3" t="s">
        <v>2</v>
      </c>
      <c r="B28" s="4" t="s">
        <v>3</v>
      </c>
      <c r="C28" s="4" t="s">
        <v>4</v>
      </c>
      <c r="D28" s="3" t="s">
        <v>5</v>
      </c>
      <c r="E28" s="4" t="s">
        <v>6</v>
      </c>
      <c r="F28" s="4" t="s">
        <v>7</v>
      </c>
      <c r="G28" s="3" t="s">
        <v>8</v>
      </c>
    </row>
    <row r="29" spans="1:8">
      <c r="A29" s="5" t="s">
        <v>48</v>
      </c>
      <c r="B29" s="6" t="s">
        <v>49</v>
      </c>
      <c r="C29" s="1" t="s">
        <v>11</v>
      </c>
      <c r="D29" s="5" t="s">
        <v>43</v>
      </c>
      <c r="E29" s="5">
        <v>50</v>
      </c>
      <c r="F29" s="7" t="s">
        <v>13</v>
      </c>
      <c r="G29" s="5" t="str">
        <f t="shared" ref="G29:G58" si="1">SUBSTITUTE(A29,".","_")</f>
        <v>I_1_ D2</v>
      </c>
    </row>
    <row r="30" spans="1:8">
      <c r="A30" s="5" t="s">
        <v>50</v>
      </c>
      <c r="B30" s="6" t="str">
        <f>A30&amp;". Age of Household Member(in years)"</f>
        <v>I.1. D3. Age of Household Member(in years)</v>
      </c>
      <c r="C30" s="1" t="s">
        <v>11</v>
      </c>
      <c r="D30" s="5" t="s">
        <v>12</v>
      </c>
      <c r="E30" s="5">
        <v>3</v>
      </c>
      <c r="F30" s="7" t="s">
        <v>13</v>
      </c>
      <c r="G30" s="5" t="str">
        <f t="shared" si="1"/>
        <v>I_1_ D3</v>
      </c>
    </row>
    <row r="31" spans="1:8" ht="28">
      <c r="A31" s="5" t="s">
        <v>51</v>
      </c>
      <c r="B31" s="6" t="str">
        <f>A31&amp;".Gender of Household Member"</f>
        <v>I.1. D4.Gender of Household Member</v>
      </c>
      <c r="C31" s="6" t="s">
        <v>52</v>
      </c>
      <c r="D31" s="5" t="s">
        <v>31</v>
      </c>
      <c r="E31" s="5">
        <v>1</v>
      </c>
      <c r="F31" s="7" t="s">
        <v>13</v>
      </c>
      <c r="G31" s="5" t="str">
        <f t="shared" si="1"/>
        <v>I_1_ D4</v>
      </c>
    </row>
    <row r="32" spans="1:8">
      <c r="A32" s="5" t="s">
        <v>53</v>
      </c>
      <c r="B32" s="6" t="s">
        <v>49</v>
      </c>
      <c r="C32" s="1" t="s">
        <v>11</v>
      </c>
      <c r="D32" s="5" t="s">
        <v>43</v>
      </c>
      <c r="E32" s="5">
        <v>50</v>
      </c>
      <c r="F32" s="7" t="s">
        <v>13</v>
      </c>
      <c r="G32" s="5" t="str">
        <f t="shared" si="1"/>
        <v>I_2_ D2</v>
      </c>
    </row>
    <row r="33" spans="1:7" s="40" customFormat="1">
      <c r="A33" s="5" t="s">
        <v>54</v>
      </c>
      <c r="B33" s="6" t="str">
        <f>A33&amp;". Age of Household Member(in years)"</f>
        <v>I.2. D3. Age of Household Member(in years)</v>
      </c>
      <c r="C33" s="1" t="s">
        <v>11</v>
      </c>
      <c r="D33" s="5" t="s">
        <v>12</v>
      </c>
      <c r="E33" s="5">
        <v>3</v>
      </c>
      <c r="F33" s="7" t="s">
        <v>13</v>
      </c>
      <c r="G33" s="5" t="str">
        <f t="shared" si="1"/>
        <v>I_2_ D3</v>
      </c>
    </row>
    <row r="34" spans="1:7" s="40" customFormat="1" ht="28">
      <c r="A34" s="5" t="s">
        <v>55</v>
      </c>
      <c r="B34" s="6" t="str">
        <f>A34&amp;".Gender of Household Member"</f>
        <v>I.2. D4.Gender of Household Member</v>
      </c>
      <c r="C34" s="6" t="s">
        <v>52</v>
      </c>
      <c r="D34" s="5" t="s">
        <v>31</v>
      </c>
      <c r="E34" s="5">
        <v>1</v>
      </c>
      <c r="F34" s="7" t="s">
        <v>13</v>
      </c>
      <c r="G34" s="5" t="str">
        <f t="shared" si="1"/>
        <v>I_2_ D4</v>
      </c>
    </row>
    <row r="35" spans="1:7" s="40" customFormat="1">
      <c r="A35" s="5" t="s">
        <v>56</v>
      </c>
      <c r="B35" s="6" t="s">
        <v>49</v>
      </c>
      <c r="C35" s="1" t="s">
        <v>11</v>
      </c>
      <c r="D35" s="5" t="s">
        <v>43</v>
      </c>
      <c r="E35" s="5">
        <v>50</v>
      </c>
      <c r="F35" s="7" t="s">
        <v>13</v>
      </c>
      <c r="G35" s="5" t="str">
        <f t="shared" si="1"/>
        <v>I_3_ D2</v>
      </c>
    </row>
    <row r="36" spans="1:7" s="40" customFormat="1">
      <c r="A36" s="5" t="s">
        <v>57</v>
      </c>
      <c r="B36" s="6" t="str">
        <f>A36&amp;". Age of Household Member(in years)"</f>
        <v>I.3. D3. Age of Household Member(in years)</v>
      </c>
      <c r="C36" s="1" t="s">
        <v>11</v>
      </c>
      <c r="D36" s="5" t="s">
        <v>12</v>
      </c>
      <c r="E36" s="5">
        <v>3</v>
      </c>
      <c r="F36" s="7" t="s">
        <v>13</v>
      </c>
      <c r="G36" s="5" t="str">
        <f t="shared" si="1"/>
        <v>I_3_ D3</v>
      </c>
    </row>
    <row r="37" spans="1:7" s="40" customFormat="1" ht="28">
      <c r="A37" s="5" t="s">
        <v>58</v>
      </c>
      <c r="B37" s="6" t="str">
        <f>A37&amp;".Gender of Household Member"</f>
        <v>I.3. D4.Gender of Household Member</v>
      </c>
      <c r="C37" s="6" t="s">
        <v>52</v>
      </c>
      <c r="D37" s="5" t="s">
        <v>31</v>
      </c>
      <c r="E37" s="5">
        <v>1</v>
      </c>
      <c r="F37" s="7" t="s">
        <v>13</v>
      </c>
      <c r="G37" s="5" t="str">
        <f t="shared" si="1"/>
        <v>I_3_ D4</v>
      </c>
    </row>
    <row r="38" spans="1:7" s="40" customFormat="1">
      <c r="A38" s="5" t="s">
        <v>59</v>
      </c>
      <c r="B38" s="6" t="s">
        <v>49</v>
      </c>
      <c r="C38" s="1" t="s">
        <v>11</v>
      </c>
      <c r="D38" s="5" t="s">
        <v>43</v>
      </c>
      <c r="E38" s="5">
        <v>50</v>
      </c>
      <c r="F38" s="7" t="s">
        <v>13</v>
      </c>
      <c r="G38" s="5" t="str">
        <f t="shared" si="1"/>
        <v>I_4_ D2</v>
      </c>
    </row>
    <row r="39" spans="1:7" s="40" customFormat="1">
      <c r="A39" s="5" t="s">
        <v>60</v>
      </c>
      <c r="B39" s="6" t="str">
        <f>A39&amp;". Age of Household Member(in years)"</f>
        <v>I.4. D3. Age of Household Member(in years)</v>
      </c>
      <c r="C39" s="1" t="s">
        <v>11</v>
      </c>
      <c r="D39" s="5" t="s">
        <v>12</v>
      </c>
      <c r="E39" s="5">
        <v>3</v>
      </c>
      <c r="F39" s="7" t="s">
        <v>13</v>
      </c>
      <c r="G39" s="5" t="str">
        <f t="shared" si="1"/>
        <v>I_4_ D3</v>
      </c>
    </row>
    <row r="40" spans="1:7" s="40" customFormat="1" ht="28">
      <c r="A40" s="5" t="s">
        <v>61</v>
      </c>
      <c r="B40" s="6" t="str">
        <f>A40&amp;".Gender of Household Member"</f>
        <v>I.4. D4.Gender of Household Member</v>
      </c>
      <c r="C40" s="6" t="s">
        <v>52</v>
      </c>
      <c r="D40" s="5" t="s">
        <v>31</v>
      </c>
      <c r="E40" s="5">
        <v>1</v>
      </c>
      <c r="F40" s="7" t="s">
        <v>13</v>
      </c>
      <c r="G40" s="5" t="str">
        <f t="shared" si="1"/>
        <v>I_4_ D4</v>
      </c>
    </row>
    <row r="41" spans="1:7" s="40" customFormat="1">
      <c r="A41" s="5" t="s">
        <v>62</v>
      </c>
      <c r="B41" s="6" t="s">
        <v>49</v>
      </c>
      <c r="C41" s="1" t="s">
        <v>11</v>
      </c>
      <c r="D41" s="5" t="s">
        <v>43</v>
      </c>
      <c r="E41" s="5">
        <v>50</v>
      </c>
      <c r="F41" s="7" t="s">
        <v>13</v>
      </c>
      <c r="G41" s="5" t="str">
        <f t="shared" si="1"/>
        <v>I_5_ D2</v>
      </c>
    </row>
    <row r="42" spans="1:7" s="40" customFormat="1">
      <c r="A42" s="5" t="s">
        <v>63</v>
      </c>
      <c r="B42" s="6" t="str">
        <f>A42&amp;". Age of Household Member(in years)"</f>
        <v>I.5. D3. Age of Household Member(in years)</v>
      </c>
      <c r="C42" s="1" t="s">
        <v>11</v>
      </c>
      <c r="D42" s="5" t="s">
        <v>12</v>
      </c>
      <c r="E42" s="5">
        <v>3</v>
      </c>
      <c r="F42" s="7" t="s">
        <v>13</v>
      </c>
      <c r="G42" s="5" t="str">
        <f t="shared" si="1"/>
        <v>I_5_ D3</v>
      </c>
    </row>
    <row r="43" spans="1:7" s="40" customFormat="1" ht="28">
      <c r="A43" s="5" t="s">
        <v>64</v>
      </c>
      <c r="B43" s="6" t="str">
        <f>A43&amp;".Gender of Household Member"</f>
        <v>I.5. D4.Gender of Household Member</v>
      </c>
      <c r="C43" s="6" t="s">
        <v>52</v>
      </c>
      <c r="D43" s="5" t="s">
        <v>31</v>
      </c>
      <c r="E43" s="5">
        <v>1</v>
      </c>
      <c r="F43" s="7" t="s">
        <v>13</v>
      </c>
      <c r="G43" s="5" t="str">
        <f t="shared" si="1"/>
        <v>I_5_ D4</v>
      </c>
    </row>
    <row r="44" spans="1:7" s="40" customFormat="1">
      <c r="A44" s="5" t="s">
        <v>65</v>
      </c>
      <c r="B44" s="6" t="s">
        <v>49</v>
      </c>
      <c r="C44" s="1" t="s">
        <v>11</v>
      </c>
      <c r="D44" s="5" t="s">
        <v>43</v>
      </c>
      <c r="E44" s="5">
        <v>50</v>
      </c>
      <c r="F44" s="7" t="s">
        <v>13</v>
      </c>
      <c r="G44" s="5" t="str">
        <f t="shared" si="1"/>
        <v>I_6_ D2</v>
      </c>
    </row>
    <row r="45" spans="1:7" s="40" customFormat="1">
      <c r="A45" s="5" t="s">
        <v>66</v>
      </c>
      <c r="B45" s="6" t="str">
        <f>A45&amp;". Age of Household Member(in years)"</f>
        <v>I.6. D3. Age of Household Member(in years)</v>
      </c>
      <c r="C45" s="1" t="s">
        <v>11</v>
      </c>
      <c r="D45" s="5" t="s">
        <v>12</v>
      </c>
      <c r="E45" s="5">
        <v>3</v>
      </c>
      <c r="F45" s="7" t="s">
        <v>13</v>
      </c>
      <c r="G45" s="5" t="str">
        <f t="shared" si="1"/>
        <v>I_6_ D3</v>
      </c>
    </row>
    <row r="46" spans="1:7" s="40" customFormat="1" ht="28">
      <c r="A46" s="5" t="s">
        <v>67</v>
      </c>
      <c r="B46" s="6" t="str">
        <f>A46&amp;".Gender of Household Member"</f>
        <v>I.6. D4.Gender of Household Member</v>
      </c>
      <c r="C46" s="6" t="s">
        <v>52</v>
      </c>
      <c r="D46" s="5" t="s">
        <v>31</v>
      </c>
      <c r="E46" s="5">
        <v>1</v>
      </c>
      <c r="F46" s="7" t="s">
        <v>13</v>
      </c>
      <c r="G46" s="5" t="str">
        <f t="shared" si="1"/>
        <v>I_6_ D4</v>
      </c>
    </row>
    <row r="47" spans="1:7" s="40" customFormat="1">
      <c r="A47" s="5" t="s">
        <v>68</v>
      </c>
      <c r="B47" s="6" t="s">
        <v>49</v>
      </c>
      <c r="C47" s="1" t="s">
        <v>11</v>
      </c>
      <c r="D47" s="5" t="s">
        <v>43</v>
      </c>
      <c r="E47" s="5">
        <v>50</v>
      </c>
      <c r="F47" s="7" t="s">
        <v>13</v>
      </c>
      <c r="G47" s="5" t="str">
        <f t="shared" si="1"/>
        <v>I_7_ D2</v>
      </c>
    </row>
    <row r="48" spans="1:7" s="40" customFormat="1">
      <c r="A48" s="5" t="s">
        <v>69</v>
      </c>
      <c r="B48" s="6" t="str">
        <f>A48&amp;". Age of Household Member(in years)"</f>
        <v>I.7. D3. Age of Household Member(in years)</v>
      </c>
      <c r="C48" s="1" t="s">
        <v>11</v>
      </c>
      <c r="D48" s="5" t="s">
        <v>12</v>
      </c>
      <c r="E48" s="5">
        <v>3</v>
      </c>
      <c r="F48" s="7" t="s">
        <v>13</v>
      </c>
      <c r="G48" s="5" t="str">
        <f t="shared" si="1"/>
        <v>I_7_ D3</v>
      </c>
    </row>
    <row r="49" spans="1:8" ht="28">
      <c r="A49" s="5" t="s">
        <v>70</v>
      </c>
      <c r="B49" s="6" t="str">
        <f>A49&amp;".Gender of Household Member"</f>
        <v>I.7. D4.Gender of Household Member</v>
      </c>
      <c r="C49" s="6" t="s">
        <v>52</v>
      </c>
      <c r="D49" s="5" t="s">
        <v>31</v>
      </c>
      <c r="E49" s="5">
        <v>1</v>
      </c>
      <c r="F49" s="7" t="s">
        <v>13</v>
      </c>
      <c r="G49" s="5" t="str">
        <f t="shared" si="1"/>
        <v>I_7_ D4</v>
      </c>
    </row>
    <row r="50" spans="1:8">
      <c r="A50" s="5" t="s">
        <v>71</v>
      </c>
      <c r="B50" s="6" t="s">
        <v>49</v>
      </c>
      <c r="C50" s="1" t="s">
        <v>11</v>
      </c>
      <c r="D50" s="5" t="s">
        <v>43</v>
      </c>
      <c r="E50" s="5">
        <v>50</v>
      </c>
      <c r="F50" s="7" t="s">
        <v>13</v>
      </c>
      <c r="G50" s="5" t="str">
        <f t="shared" si="1"/>
        <v>I_8_ D2</v>
      </c>
    </row>
    <row r="51" spans="1:8">
      <c r="A51" s="5" t="s">
        <v>72</v>
      </c>
      <c r="B51" s="6" t="str">
        <f>A51&amp;". Age of Household Member(in years)"</f>
        <v>I.8. D3. Age of Household Member(in years)</v>
      </c>
      <c r="C51" s="1" t="s">
        <v>11</v>
      </c>
      <c r="D51" s="5" t="s">
        <v>12</v>
      </c>
      <c r="E51" s="5">
        <v>3</v>
      </c>
      <c r="F51" s="7" t="s">
        <v>13</v>
      </c>
      <c r="G51" s="5" t="str">
        <f t="shared" si="1"/>
        <v>I_8_ D3</v>
      </c>
    </row>
    <row r="52" spans="1:8" ht="28">
      <c r="A52" s="5" t="s">
        <v>73</v>
      </c>
      <c r="B52" s="6" t="str">
        <f>A52&amp;".Gender of Household Member"</f>
        <v>I.8. D4.Gender of Household Member</v>
      </c>
      <c r="C52" s="6" t="s">
        <v>52</v>
      </c>
      <c r="D52" s="5" t="s">
        <v>31</v>
      </c>
      <c r="E52" s="5">
        <v>1</v>
      </c>
      <c r="F52" s="7" t="s">
        <v>13</v>
      </c>
      <c r="G52" s="5" t="str">
        <f t="shared" si="1"/>
        <v>I_8_ D4</v>
      </c>
    </row>
    <row r="53" spans="1:8">
      <c r="A53" s="5" t="s">
        <v>74</v>
      </c>
      <c r="B53" s="6" t="s">
        <v>49</v>
      </c>
      <c r="C53" s="1" t="s">
        <v>11</v>
      </c>
      <c r="D53" s="5" t="s">
        <v>43</v>
      </c>
      <c r="E53" s="5">
        <v>50</v>
      </c>
      <c r="F53" s="7" t="s">
        <v>13</v>
      </c>
      <c r="G53" s="5" t="str">
        <f t="shared" si="1"/>
        <v>I_9_ D2</v>
      </c>
    </row>
    <row r="54" spans="1:8">
      <c r="A54" s="5" t="s">
        <v>75</v>
      </c>
      <c r="B54" s="6" t="str">
        <f>A54&amp;". Age of Household Member(in years)"</f>
        <v>I.9. D3. Age of Household Member(in years)</v>
      </c>
      <c r="C54" s="1" t="s">
        <v>11</v>
      </c>
      <c r="D54" s="5" t="s">
        <v>12</v>
      </c>
      <c r="E54" s="5">
        <v>3</v>
      </c>
      <c r="F54" s="7" t="s">
        <v>13</v>
      </c>
      <c r="G54" s="5" t="str">
        <f t="shared" si="1"/>
        <v>I_9_ D3</v>
      </c>
    </row>
    <row r="55" spans="1:8" ht="28">
      <c r="A55" s="5" t="s">
        <v>76</v>
      </c>
      <c r="B55" s="6" t="str">
        <f>A55&amp;".Gender of Household Member"</f>
        <v>I.9. D4.Gender of Household Member</v>
      </c>
      <c r="C55" s="6" t="s">
        <v>52</v>
      </c>
      <c r="D55" s="5" t="s">
        <v>31</v>
      </c>
      <c r="E55" s="5">
        <v>1</v>
      </c>
      <c r="F55" s="7" t="s">
        <v>13</v>
      </c>
      <c r="G55" s="5" t="str">
        <f t="shared" si="1"/>
        <v>I_9_ D4</v>
      </c>
    </row>
    <row r="56" spans="1:8">
      <c r="A56" s="5" t="s">
        <v>77</v>
      </c>
      <c r="B56" s="6" t="s">
        <v>49</v>
      </c>
      <c r="C56" s="1" t="s">
        <v>11</v>
      </c>
      <c r="D56" s="5" t="s">
        <v>43</v>
      </c>
      <c r="E56" s="5">
        <v>50</v>
      </c>
      <c r="F56" s="7" t="s">
        <v>13</v>
      </c>
      <c r="G56" s="5" t="str">
        <f t="shared" si="1"/>
        <v>I_10_ D2</v>
      </c>
    </row>
    <row r="57" spans="1:8">
      <c r="A57" s="5" t="s">
        <v>78</v>
      </c>
      <c r="B57" s="6" t="str">
        <f>A57&amp;". Age of Household Member(in years)"</f>
        <v>I.10. D3. Age of Household Member(in years)</v>
      </c>
      <c r="C57" s="1" t="s">
        <v>11</v>
      </c>
      <c r="D57" s="5" t="s">
        <v>12</v>
      </c>
      <c r="E57" s="5">
        <v>3</v>
      </c>
      <c r="F57" s="7" t="s">
        <v>13</v>
      </c>
      <c r="G57" s="5" t="str">
        <f t="shared" si="1"/>
        <v>I_10_ D3</v>
      </c>
    </row>
    <row r="58" spans="1:8" ht="28">
      <c r="A58" s="5" t="s">
        <v>79</v>
      </c>
      <c r="B58" s="6" t="str">
        <f>A58&amp;".Gender of Household Member"</f>
        <v>I.10. D4.Gender of Household Member</v>
      </c>
      <c r="C58" s="6" t="s">
        <v>52</v>
      </c>
      <c r="D58" s="5" t="s">
        <v>31</v>
      </c>
      <c r="E58" s="5">
        <v>1</v>
      </c>
      <c r="F58" s="7" t="s">
        <v>13</v>
      </c>
      <c r="G58" s="5" t="str">
        <f t="shared" si="1"/>
        <v>I_10_ D4</v>
      </c>
    </row>
    <row r="59" spans="1:8" ht="25" customHeight="1">
      <c r="A59" s="262" t="s">
        <v>80</v>
      </c>
      <c r="B59" s="262"/>
      <c r="C59" s="262"/>
      <c r="D59" s="262"/>
      <c r="E59" s="262"/>
      <c r="F59" s="262"/>
      <c r="G59" s="262"/>
    </row>
    <row r="60" spans="1:8">
      <c r="A60" s="3" t="s">
        <v>2</v>
      </c>
      <c r="B60" s="4" t="s">
        <v>3</v>
      </c>
      <c r="C60" s="4" t="s">
        <v>4</v>
      </c>
      <c r="D60" s="3" t="s">
        <v>5</v>
      </c>
      <c r="E60" s="4" t="s">
        <v>6</v>
      </c>
      <c r="F60" s="4" t="s">
        <v>7</v>
      </c>
      <c r="G60" s="3" t="s">
        <v>8</v>
      </c>
    </row>
    <row r="61" spans="1:8">
      <c r="A61" s="5" t="s">
        <v>81</v>
      </c>
      <c r="B61" s="6" t="s">
        <v>82</v>
      </c>
      <c r="C61" s="46" t="s">
        <v>1472</v>
      </c>
      <c r="D61" s="5" t="s">
        <v>12</v>
      </c>
      <c r="E61" s="5">
        <v>4</v>
      </c>
      <c r="F61" s="7" t="s">
        <v>13</v>
      </c>
      <c r="G61" s="5" t="str">
        <f>SUBSTITUTE(A61,".","_")</f>
        <v>DG1</v>
      </c>
    </row>
    <row r="62" spans="1:8" ht="28">
      <c r="A62" s="5" t="s">
        <v>84</v>
      </c>
      <c r="B62" s="6" t="s">
        <v>1473</v>
      </c>
      <c r="C62" s="6" t="s">
        <v>86</v>
      </c>
      <c r="D62" s="5" t="s">
        <v>31</v>
      </c>
      <c r="E62" s="5">
        <v>1</v>
      </c>
      <c r="F62" s="7" t="s">
        <v>13</v>
      </c>
      <c r="G62" s="5" t="str">
        <f>SUBSTITUTE(A62,".","_")</f>
        <v>DG2</v>
      </c>
    </row>
    <row r="63" spans="1:8" ht="84">
      <c r="A63" s="5" t="s">
        <v>87</v>
      </c>
      <c r="B63" s="6" t="s">
        <v>1474</v>
      </c>
      <c r="C63" s="46" t="s">
        <v>1475</v>
      </c>
      <c r="D63" s="5" t="s">
        <v>31</v>
      </c>
      <c r="E63" s="5">
        <v>2</v>
      </c>
      <c r="F63" s="7" t="s">
        <v>13</v>
      </c>
      <c r="G63" s="5" t="str">
        <f>SUBSTITUTE(A63,".","_")</f>
        <v>DG3</v>
      </c>
      <c r="H63" s="47" t="s">
        <v>1476</v>
      </c>
    </row>
    <row r="64" spans="1:8" ht="120">
      <c r="A64" s="5" t="s">
        <v>90</v>
      </c>
      <c r="B64" s="6" t="s">
        <v>91</v>
      </c>
      <c r="C64" s="48" t="s">
        <v>92</v>
      </c>
      <c r="D64" s="5" t="s">
        <v>31</v>
      </c>
      <c r="E64" s="5">
        <v>2</v>
      </c>
      <c r="F64" s="7" t="s">
        <v>13</v>
      </c>
      <c r="G64" s="5" t="str">
        <f>SUBSTITUTE(A64,".","_")</f>
        <v>DG4</v>
      </c>
      <c r="H64" s="40" t="s">
        <v>1477</v>
      </c>
    </row>
    <row r="65" spans="1:8" s="8" customFormat="1" ht="25" customHeight="1">
      <c r="A65" s="262" t="s">
        <v>1478</v>
      </c>
      <c r="B65" s="262"/>
      <c r="C65" s="262"/>
      <c r="D65" s="49"/>
      <c r="E65" s="49"/>
      <c r="F65" s="49"/>
      <c r="G65" s="49"/>
      <c r="H65" s="50" t="s">
        <v>1479</v>
      </c>
    </row>
    <row r="66" spans="1:8" s="1" customFormat="1" ht="13">
      <c r="A66" s="3" t="s">
        <v>2</v>
      </c>
      <c r="B66" s="4" t="s">
        <v>3</v>
      </c>
      <c r="C66" s="4" t="s">
        <v>4</v>
      </c>
      <c r="D66" s="3" t="s">
        <v>5</v>
      </c>
      <c r="E66" s="4" t="s">
        <v>6</v>
      </c>
      <c r="F66" s="4" t="s">
        <v>7</v>
      </c>
      <c r="G66" s="3" t="s">
        <v>8</v>
      </c>
      <c r="H66" s="43"/>
    </row>
    <row r="67" spans="1:8" s="1" customFormat="1" ht="28">
      <c r="A67" s="5" t="s">
        <v>94</v>
      </c>
      <c r="B67" s="6" t="str">
        <f>A67&amp;".Do you have any of the following types of official identification? "&amp;Other!A2</f>
        <v>DG5.1.Do you have any of the following types of official identification? Kartu Tanda Penduduk (KTP/KITAS/KITAP)</v>
      </c>
      <c r="C67" s="6" t="s">
        <v>95</v>
      </c>
      <c r="D67" s="5" t="s">
        <v>31</v>
      </c>
      <c r="E67" s="5">
        <v>1</v>
      </c>
      <c r="F67" s="51" t="s">
        <v>13</v>
      </c>
      <c r="G67" s="52" t="str">
        <f t="shared" ref="G67:G72" si="2">SUBSTITUTE(A67,".","_")</f>
        <v>DG5_1</v>
      </c>
      <c r="H67" s="53"/>
    </row>
    <row r="68" spans="1:8" s="1" customFormat="1" ht="28">
      <c r="A68" s="5" t="s">
        <v>96</v>
      </c>
      <c r="B68" s="6" t="str">
        <f>A68&amp;".Do you have any of the following types of official identification? "&amp;Other!A3</f>
        <v>DG5.2.Do you have any of the following types of official identification? Family registration card</v>
      </c>
      <c r="C68" s="6" t="s">
        <v>95</v>
      </c>
      <c r="D68" s="5" t="s">
        <v>31</v>
      </c>
      <c r="E68" s="5">
        <v>1</v>
      </c>
      <c r="F68" s="51" t="s">
        <v>13</v>
      </c>
      <c r="G68" s="52" t="str">
        <f t="shared" si="2"/>
        <v>DG5_2</v>
      </c>
      <c r="H68" s="53"/>
    </row>
    <row r="69" spans="1:8" s="1" customFormat="1" ht="28">
      <c r="A69" s="5" t="s">
        <v>97</v>
      </c>
      <c r="B69" s="6" t="str">
        <f>A69&amp;".Do you have any of the following types of official identification? "&amp;Other!A4</f>
        <v>DG5.3.Do you have any of the following types of official identification? Passport</v>
      </c>
      <c r="C69" s="6" t="s">
        <v>95</v>
      </c>
      <c r="D69" s="5" t="s">
        <v>31</v>
      </c>
      <c r="E69" s="5">
        <v>1</v>
      </c>
      <c r="F69" s="51" t="s">
        <v>13</v>
      </c>
      <c r="G69" s="52" t="str">
        <f t="shared" si="2"/>
        <v>DG5_3</v>
      </c>
      <c r="H69" s="53"/>
    </row>
    <row r="70" spans="1:8" s="1" customFormat="1" ht="28">
      <c r="A70" s="5" t="s">
        <v>98</v>
      </c>
      <c r="B70" s="6" t="str">
        <f>A70&amp;".Do you have any of the following types of official identification? "&amp;Other!A5</f>
        <v>DG5.4.Do you have any of the following types of official identification? School-issued ID</v>
      </c>
      <c r="C70" s="6" t="s">
        <v>95</v>
      </c>
      <c r="D70" s="5" t="s">
        <v>31</v>
      </c>
      <c r="E70" s="5">
        <v>1</v>
      </c>
      <c r="F70" s="51" t="s">
        <v>13</v>
      </c>
      <c r="G70" s="52" t="str">
        <f t="shared" si="2"/>
        <v>DG5_4</v>
      </c>
      <c r="H70" s="53"/>
    </row>
    <row r="71" spans="1:8" s="1" customFormat="1" ht="28">
      <c r="A71" s="5" t="s">
        <v>99</v>
      </c>
      <c r="B71" s="6" t="str">
        <f>A71&amp;".Do you have any of the following types of official identification? "&amp;Other!A6</f>
        <v>DG5.5.Do you have any of the following types of official identification? Tax Card</v>
      </c>
      <c r="C71" s="6" t="s">
        <v>95</v>
      </c>
      <c r="D71" s="5" t="s">
        <v>31</v>
      </c>
      <c r="E71" s="5">
        <v>1</v>
      </c>
      <c r="F71" s="51" t="s">
        <v>13</v>
      </c>
      <c r="G71" s="52" t="str">
        <f t="shared" si="2"/>
        <v>DG5_5</v>
      </c>
      <c r="H71" s="53"/>
    </row>
    <row r="72" spans="1:8" s="1" customFormat="1" ht="28">
      <c r="A72" s="5" t="s">
        <v>100</v>
      </c>
      <c r="B72" s="6" t="str">
        <f>A72&amp;".Do you have any of the following types of official identification? "&amp;Other!A7</f>
        <v>DG5.6.Do you have any of the following types of official identification? SIM (Driving license)</v>
      </c>
      <c r="C72" s="6" t="s">
        <v>95</v>
      </c>
      <c r="D72" s="5" t="s">
        <v>31</v>
      </c>
      <c r="E72" s="5">
        <v>1</v>
      </c>
      <c r="F72" s="51" t="s">
        <v>13</v>
      </c>
      <c r="G72" s="52" t="str">
        <f t="shared" si="2"/>
        <v>DG5_6</v>
      </c>
      <c r="H72" s="53"/>
    </row>
    <row r="73" spans="1:8" s="8" customFormat="1" ht="25" customHeight="1">
      <c r="A73" s="264" t="s">
        <v>101</v>
      </c>
      <c r="B73" s="264"/>
      <c r="C73" s="264"/>
      <c r="D73" s="264"/>
      <c r="E73" s="264"/>
      <c r="F73" s="264"/>
      <c r="G73" s="264"/>
      <c r="H73" s="50"/>
    </row>
    <row r="74" spans="1:8" s="1" customFormat="1" ht="13">
      <c r="A74" s="3" t="s">
        <v>2</v>
      </c>
      <c r="B74" s="4" t="s">
        <v>3</v>
      </c>
      <c r="C74" s="4" t="s">
        <v>4</v>
      </c>
      <c r="D74" s="3" t="s">
        <v>5</v>
      </c>
      <c r="E74" s="4" t="s">
        <v>6</v>
      </c>
      <c r="F74" s="4" t="s">
        <v>7</v>
      </c>
      <c r="G74" s="3" t="s">
        <v>8</v>
      </c>
      <c r="H74" s="43"/>
    </row>
    <row r="75" spans="1:8" ht="154">
      <c r="A75" s="5" t="s">
        <v>102</v>
      </c>
      <c r="B75" s="7" t="s">
        <v>103</v>
      </c>
      <c r="C75" s="54" t="s">
        <v>104</v>
      </c>
      <c r="D75" s="45" t="s">
        <v>31</v>
      </c>
      <c r="E75" s="5">
        <v>2</v>
      </c>
      <c r="F75" s="7" t="s">
        <v>13</v>
      </c>
      <c r="G75" s="5" t="str">
        <f t="shared" ref="G75:G92" si="3">SUBSTITUTE(A75,".","_")</f>
        <v>DG6</v>
      </c>
    </row>
    <row r="76" spans="1:8" s="10" customFormat="1" ht="98">
      <c r="A76" s="5" t="s">
        <v>105</v>
      </c>
      <c r="B76" s="6" t="str">
        <f>A76&amp;". In your best estimate, how much is your contribution to the household income each month?"</f>
        <v>DL0. In your best estimate, how much is your contribution to the household income each month?</v>
      </c>
      <c r="C76" s="6" t="s">
        <v>106</v>
      </c>
      <c r="D76" s="45" t="s">
        <v>31</v>
      </c>
      <c r="E76" s="9">
        <v>2</v>
      </c>
      <c r="F76" s="55" t="s">
        <v>13</v>
      </c>
      <c r="G76" s="9" t="str">
        <f t="shared" si="3"/>
        <v>DL0</v>
      </c>
      <c r="H76" s="56" t="s">
        <v>1480</v>
      </c>
    </row>
    <row r="77" spans="1:8" ht="15">
      <c r="A77" s="5" t="s">
        <v>107</v>
      </c>
      <c r="B77" s="6" t="s">
        <v>108</v>
      </c>
      <c r="C77" s="48" t="s">
        <v>109</v>
      </c>
      <c r="D77" s="5" t="s">
        <v>31</v>
      </c>
      <c r="E77" s="5">
        <v>2</v>
      </c>
      <c r="F77" s="7" t="s">
        <v>13</v>
      </c>
      <c r="G77" s="5" t="str">
        <f t="shared" si="3"/>
        <v>DL1</v>
      </c>
    </row>
    <row r="78" spans="1:8" ht="15">
      <c r="A78" s="5" t="s">
        <v>110</v>
      </c>
      <c r="B78" s="6" t="s">
        <v>111</v>
      </c>
      <c r="C78" s="57" t="s">
        <v>112</v>
      </c>
      <c r="D78" s="5" t="s">
        <v>31</v>
      </c>
      <c r="E78" s="5">
        <v>2</v>
      </c>
      <c r="F78" s="7" t="s">
        <v>113</v>
      </c>
      <c r="G78" s="5" t="str">
        <f t="shared" si="3"/>
        <v>DL2</v>
      </c>
      <c r="H78" s="40" t="s">
        <v>1481</v>
      </c>
    </row>
    <row r="79" spans="1:8" ht="28">
      <c r="A79" s="5" t="s">
        <v>114</v>
      </c>
      <c r="B79" s="6" t="str">
        <f>A79&amp;". Please tell me in which of the following ways you got money in the past 12 months? "&amp;Other!B2</f>
        <v>DL4.1. Please tell me in which of the following ways you got money in the past 12 months? Sold fish or fishing products, supplies, or equipment</v>
      </c>
      <c r="C79" s="6" t="s">
        <v>95</v>
      </c>
      <c r="D79" s="5" t="s">
        <v>31</v>
      </c>
      <c r="E79" s="5">
        <v>1</v>
      </c>
      <c r="F79" s="7" t="s">
        <v>13</v>
      </c>
      <c r="G79" s="5" t="str">
        <f t="shared" si="3"/>
        <v>DL4_1</v>
      </c>
    </row>
    <row r="80" spans="1:8" ht="28">
      <c r="A80" s="5" t="s">
        <v>115</v>
      </c>
      <c r="B80" s="6" t="str">
        <f>A80&amp;". Please tell me in which of the following ways you got money in the past 12 months? "&amp;Other!B3</f>
        <v>DL4.2. Please tell me in which of the following ways you got money in the past 12 months? Sold products of agriculture or reared livestock</v>
      </c>
      <c r="C80" s="6" t="s">
        <v>95</v>
      </c>
      <c r="D80" s="5" t="s">
        <v>31</v>
      </c>
      <c r="E80" s="5">
        <v>1</v>
      </c>
      <c r="F80" s="7" t="s">
        <v>13</v>
      </c>
      <c r="G80" s="5" t="str">
        <f t="shared" si="3"/>
        <v>DL4_2</v>
      </c>
    </row>
    <row r="81" spans="1:8" ht="28">
      <c r="A81" s="5" t="s">
        <v>116</v>
      </c>
      <c r="B81" s="6" t="str">
        <f>A81&amp;". Please tell me in which of the following ways you got money in the past 12 months? "&amp;Other!B4</f>
        <v xml:space="preserve">DL4.3. Please tell me in which of the following ways you got money in the past 12 months? Received assistance from the government </v>
      </c>
      <c r="C81" s="6" t="s">
        <v>95</v>
      </c>
      <c r="D81" s="5" t="s">
        <v>31</v>
      </c>
      <c r="E81" s="5">
        <v>1</v>
      </c>
      <c r="F81" s="7" t="s">
        <v>13</v>
      </c>
      <c r="G81" s="5" t="str">
        <f t="shared" si="3"/>
        <v>DL4_3</v>
      </c>
    </row>
    <row r="82" spans="1:8" ht="28">
      <c r="A82" s="5" t="s">
        <v>117</v>
      </c>
      <c r="B82" s="6" t="str">
        <f>A82&amp;". Please tell me in which of the following ways you got money in the past 12 months? "&amp;Other!B5</f>
        <v>DL4.4. Please tell me in which of the following ways you got money in the past 12 months? Received money from a relative, friend, or another person inside the country</v>
      </c>
      <c r="C82" s="6" t="s">
        <v>95</v>
      </c>
      <c r="D82" s="5" t="s">
        <v>31</v>
      </c>
      <c r="E82" s="5">
        <v>1</v>
      </c>
      <c r="F82" s="7" t="s">
        <v>13</v>
      </c>
      <c r="G82" s="5" t="str">
        <f t="shared" si="3"/>
        <v>DL4_4</v>
      </c>
    </row>
    <row r="83" spans="1:8" ht="28">
      <c r="A83" s="5" t="s">
        <v>118</v>
      </c>
      <c r="B83" s="6" t="str">
        <f>A83&amp;". Please tell me in which of the following ways you got money in the past 12 months? "&amp;Other!B6</f>
        <v>DL4.5. Please tell me in which of the following ways you got money in the past 12 months? Received money from a relative, friend, or another person sent from a foreign country</v>
      </c>
      <c r="C83" s="6" t="s">
        <v>95</v>
      </c>
      <c r="D83" s="5" t="s">
        <v>31</v>
      </c>
      <c r="E83" s="5">
        <v>1</v>
      </c>
      <c r="F83" s="7" t="s">
        <v>13</v>
      </c>
      <c r="G83" s="5" t="str">
        <f t="shared" si="3"/>
        <v>DL4_5</v>
      </c>
    </row>
    <row r="84" spans="1:8" ht="28">
      <c r="A84" s="5" t="s">
        <v>119</v>
      </c>
      <c r="B84" s="6" t="str">
        <f>A84&amp;". Please tell me in which of the following ways you got money in the past 12 months? "&amp;Other!B7</f>
        <v>DL4.6. Please tell me in which of the following ways you got money in the past 12 months? Ownership of a business, property, or assets</v>
      </c>
      <c r="C84" s="6" t="s">
        <v>95</v>
      </c>
      <c r="D84" s="5" t="s">
        <v>31</v>
      </c>
      <c r="E84" s="5">
        <v>1</v>
      </c>
      <c r="F84" s="7" t="s">
        <v>13</v>
      </c>
      <c r="G84" s="5" t="str">
        <f t="shared" si="3"/>
        <v>DL4_6</v>
      </c>
    </row>
    <row r="85" spans="1:8" ht="28">
      <c r="A85" s="5" t="s">
        <v>120</v>
      </c>
      <c r="B85" s="6" t="str">
        <f>A85&amp;". Please tell me in which of the following ways you got money in the past 12 months? "&amp;Other!B8</f>
        <v>DL4.7. Please tell me in which of the following ways you got money in the past 12 months? Employment by the government</v>
      </c>
      <c r="C85" s="6" t="s">
        <v>95</v>
      </c>
      <c r="D85" s="5" t="s">
        <v>31</v>
      </c>
      <c r="E85" s="5">
        <v>1</v>
      </c>
      <c r="F85" s="7" t="s">
        <v>13</v>
      </c>
      <c r="G85" s="5" t="str">
        <f t="shared" si="3"/>
        <v>DL4_7</v>
      </c>
    </row>
    <row r="86" spans="1:8" ht="28">
      <c r="A86" s="5" t="s">
        <v>121</v>
      </c>
      <c r="B86" s="6" t="str">
        <f>A86&amp;". Please tell me in which of the following ways you got money in the past 12 months? "&amp;Other!B9</f>
        <v>DL4.8. Please tell me in which of the following ways you got money in the past 12 months? Employment in a business with 10 employees or less</v>
      </c>
      <c r="C86" s="6" t="s">
        <v>95</v>
      </c>
      <c r="D86" s="5" t="s">
        <v>31</v>
      </c>
      <c r="E86" s="5">
        <v>1</v>
      </c>
      <c r="F86" s="7" t="s">
        <v>13</v>
      </c>
      <c r="G86" s="5" t="str">
        <f t="shared" si="3"/>
        <v>DL4_8</v>
      </c>
    </row>
    <row r="87" spans="1:8" ht="28">
      <c r="A87" s="5" t="s">
        <v>122</v>
      </c>
      <c r="B87" s="6" t="str">
        <f>A87&amp;". Please tell me in which of the following ways you got money in the past 12 months? "&amp;Other!B10</f>
        <v>DL4.9. Please tell me in which of the following ways you got money in the past 12 months? Employment in a business with more than 10 employees</v>
      </c>
      <c r="C87" s="6" t="s">
        <v>95</v>
      </c>
      <c r="D87" s="5" t="s">
        <v>31</v>
      </c>
      <c r="E87" s="5">
        <v>1</v>
      </c>
      <c r="F87" s="7" t="s">
        <v>13</v>
      </c>
      <c r="G87" s="5" t="str">
        <f t="shared" si="3"/>
        <v>DL4_9</v>
      </c>
    </row>
    <row r="88" spans="1:8" ht="28">
      <c r="A88" s="5" t="s">
        <v>123</v>
      </c>
      <c r="B88" s="6" t="str">
        <f>A88&amp;". Please tell me in which of the following ways you got money in the past 12 months? "&amp;Other!B11</f>
        <v>DL4.10. Please tell me in which of the following ways you got money in the past 12 months? Scholarship or stipend from the government or educational institution</v>
      </c>
      <c r="C88" s="6" t="s">
        <v>95</v>
      </c>
      <c r="D88" s="5" t="s">
        <v>31</v>
      </c>
      <c r="E88" s="5">
        <v>1</v>
      </c>
      <c r="F88" s="7" t="s">
        <v>13</v>
      </c>
      <c r="G88" s="5" t="str">
        <f t="shared" si="3"/>
        <v>DL4_10</v>
      </c>
    </row>
    <row r="89" spans="1:8" ht="28">
      <c r="A89" s="45" t="s">
        <v>124</v>
      </c>
      <c r="B89" s="46" t="str">
        <f>A89&amp;". Please tell me in which of the following ways you got money in the past 12 months? "&amp;Other!B12</f>
        <v>DL4.11. Please tell me in which of the following ways you got money in the past 12 months? Pension</v>
      </c>
      <c r="C89" s="46" t="s">
        <v>125</v>
      </c>
      <c r="D89" s="45" t="s">
        <v>31</v>
      </c>
      <c r="E89" s="45">
        <v>1</v>
      </c>
      <c r="F89" s="58" t="s">
        <v>13</v>
      </c>
      <c r="G89" s="45" t="str">
        <f t="shared" si="3"/>
        <v>DL4_11</v>
      </c>
    </row>
    <row r="90" spans="1:8" ht="28">
      <c r="A90" s="5" t="s">
        <v>126</v>
      </c>
      <c r="B90" s="6" t="str">
        <f>A90 &amp; ". Does anyone in your household own or lease a farm/farmland?"</f>
        <v>DL6. Does anyone in your household own or lease a farm/farmland?</v>
      </c>
      <c r="C90" s="6" t="s">
        <v>95</v>
      </c>
      <c r="D90" s="5" t="s">
        <v>31</v>
      </c>
      <c r="E90" s="5">
        <v>1</v>
      </c>
      <c r="F90" s="7" t="s">
        <v>13</v>
      </c>
      <c r="G90" s="5" t="str">
        <f t="shared" si="3"/>
        <v>DL6</v>
      </c>
    </row>
    <row r="91" spans="1:8" ht="28">
      <c r="A91" s="5" t="s">
        <v>127</v>
      </c>
      <c r="B91" s="6" t="s">
        <v>128</v>
      </c>
      <c r="C91" s="6" t="s">
        <v>95</v>
      </c>
      <c r="D91" s="5" t="s">
        <v>31</v>
      </c>
      <c r="E91" s="5">
        <v>1</v>
      </c>
      <c r="F91" s="7" t="s">
        <v>129</v>
      </c>
      <c r="G91" s="5" t="str">
        <f t="shared" si="3"/>
        <v>DL7</v>
      </c>
    </row>
    <row r="92" spans="1:8" ht="28">
      <c r="A92" s="5" t="s">
        <v>130</v>
      </c>
      <c r="B92" s="7" t="str">
        <f>A92&amp;". In the past 12 months, how many times did you move from one home to another?"</f>
        <v>DL11. In the past 12 months, how many times did you move from one home to another?</v>
      </c>
      <c r="C92" s="6" t="s">
        <v>131</v>
      </c>
      <c r="D92" s="5" t="s">
        <v>12</v>
      </c>
      <c r="E92" s="5">
        <v>2</v>
      </c>
      <c r="F92" s="7" t="s">
        <v>13</v>
      </c>
      <c r="G92" s="5" t="str">
        <f t="shared" si="3"/>
        <v>DL11</v>
      </c>
    </row>
    <row r="93" spans="1:8" s="8" customFormat="1">
      <c r="A93" s="260" t="s">
        <v>132</v>
      </c>
      <c r="B93" s="260"/>
      <c r="C93" s="260"/>
      <c r="D93" s="260"/>
      <c r="E93" s="260"/>
      <c r="F93" s="260"/>
      <c r="G93" s="260"/>
      <c r="H93" s="50"/>
    </row>
    <row r="94" spans="1:8" s="1" customFormat="1" ht="13">
      <c r="A94" s="3" t="s">
        <v>2</v>
      </c>
      <c r="B94" s="4" t="s">
        <v>3</v>
      </c>
      <c r="C94" s="4" t="s">
        <v>4</v>
      </c>
      <c r="D94" s="3" t="s">
        <v>5</v>
      </c>
      <c r="E94" s="4" t="s">
        <v>6</v>
      </c>
      <c r="F94" s="4" t="s">
        <v>7</v>
      </c>
      <c r="G94" s="3" t="s">
        <v>8</v>
      </c>
      <c r="H94" s="43"/>
    </row>
    <row r="95" spans="1:8" s="1" customFormat="1" ht="84">
      <c r="A95" s="5" t="s">
        <v>133</v>
      </c>
      <c r="B95" s="46" t="str">
        <f>A95&amp;". How many household members are there?"</f>
        <v>DL14. How many household members are there?</v>
      </c>
      <c r="C95" s="6" t="s">
        <v>134</v>
      </c>
      <c r="D95" s="5" t="s">
        <v>31</v>
      </c>
      <c r="E95" s="9">
        <v>1</v>
      </c>
      <c r="F95" s="5" t="s">
        <v>13</v>
      </c>
      <c r="G95" s="5" t="str">
        <f t="shared" ref="G95:G105" si="4">SUBSTITUTE(A95,".","_")</f>
        <v>DL14</v>
      </c>
      <c r="H95" s="43"/>
    </row>
    <row r="96" spans="1:8" s="1" customFormat="1" ht="42">
      <c r="A96" s="5" t="s">
        <v>135</v>
      </c>
      <c r="B96" s="46" t="s">
        <v>1482</v>
      </c>
      <c r="C96" s="6" t="s">
        <v>137</v>
      </c>
      <c r="D96" s="5" t="s">
        <v>31</v>
      </c>
      <c r="E96" s="5">
        <v>1</v>
      </c>
      <c r="F96" s="5" t="s">
        <v>13</v>
      </c>
      <c r="G96" s="5" t="str">
        <f t="shared" si="4"/>
        <v>DL15</v>
      </c>
      <c r="H96" s="43"/>
    </row>
    <row r="97" spans="1:8" s="1" customFormat="1" ht="140">
      <c r="A97" s="5" t="s">
        <v>138</v>
      </c>
      <c r="B97" s="46" t="s">
        <v>139</v>
      </c>
      <c r="C97" s="6" t="s">
        <v>1483</v>
      </c>
      <c r="D97" s="5" t="s">
        <v>31</v>
      </c>
      <c r="E97" s="5">
        <v>1</v>
      </c>
      <c r="F97" s="5" t="s">
        <v>13</v>
      </c>
      <c r="G97" s="5" t="str">
        <f t="shared" si="4"/>
        <v>DL16</v>
      </c>
      <c r="H97" s="43"/>
    </row>
    <row r="98" spans="1:8" s="1" customFormat="1" ht="112">
      <c r="A98" s="5" t="s">
        <v>141</v>
      </c>
      <c r="B98" s="6" t="s">
        <v>142</v>
      </c>
      <c r="C98" s="46" t="s">
        <v>143</v>
      </c>
      <c r="D98" s="5" t="s">
        <v>31</v>
      </c>
      <c r="E98" s="5">
        <v>1</v>
      </c>
      <c r="F98" s="5" t="s">
        <v>13</v>
      </c>
      <c r="G98" s="5" t="str">
        <f t="shared" si="4"/>
        <v>DL17</v>
      </c>
      <c r="H98" s="43"/>
    </row>
    <row r="99" spans="1:8" s="1" customFormat="1" ht="28">
      <c r="A99" s="5" t="s">
        <v>144</v>
      </c>
      <c r="B99" s="6" t="s">
        <v>1484</v>
      </c>
      <c r="C99" s="6" t="s">
        <v>146</v>
      </c>
      <c r="D99" s="5" t="s">
        <v>31</v>
      </c>
      <c r="E99" s="5">
        <v>1</v>
      </c>
      <c r="F99" s="5" t="s">
        <v>13</v>
      </c>
      <c r="G99" s="5" t="str">
        <f t="shared" si="4"/>
        <v>DL18</v>
      </c>
      <c r="H99" s="43"/>
    </row>
    <row r="100" spans="1:8" s="1" customFormat="1" ht="42">
      <c r="A100" s="5" t="s">
        <v>147</v>
      </c>
      <c r="B100" s="46" t="s">
        <v>148</v>
      </c>
      <c r="C100" s="6" t="s">
        <v>149</v>
      </c>
      <c r="D100" s="5" t="s">
        <v>31</v>
      </c>
      <c r="E100" s="5">
        <v>1</v>
      </c>
      <c r="F100" s="5" t="s">
        <v>13</v>
      </c>
      <c r="G100" s="5" t="str">
        <f t="shared" si="4"/>
        <v>DL19</v>
      </c>
      <c r="H100" s="43"/>
    </row>
    <row r="101" spans="1:8" s="1" customFormat="1" ht="42">
      <c r="A101" s="5" t="s">
        <v>150</v>
      </c>
      <c r="B101" s="6" t="s">
        <v>1485</v>
      </c>
      <c r="C101" s="6" t="s">
        <v>152</v>
      </c>
      <c r="D101" s="5" t="s">
        <v>31</v>
      </c>
      <c r="E101" s="5">
        <v>1</v>
      </c>
      <c r="F101" s="5" t="s">
        <v>13</v>
      </c>
      <c r="G101" s="5" t="str">
        <f t="shared" si="4"/>
        <v>DL20</v>
      </c>
      <c r="H101" s="43"/>
    </row>
    <row r="102" spans="1:8" s="1" customFormat="1" ht="28">
      <c r="A102" s="5" t="s">
        <v>153</v>
      </c>
      <c r="B102" s="6" t="s">
        <v>154</v>
      </c>
      <c r="C102" s="6" t="s">
        <v>155</v>
      </c>
      <c r="D102" s="5" t="s">
        <v>31</v>
      </c>
      <c r="E102" s="5">
        <v>1</v>
      </c>
      <c r="F102" s="5" t="s">
        <v>13</v>
      </c>
      <c r="G102" s="5" t="str">
        <f t="shared" si="4"/>
        <v>DL21</v>
      </c>
      <c r="H102" s="43"/>
    </row>
    <row r="103" spans="1:8" s="1" customFormat="1" ht="28">
      <c r="A103" s="5" t="s">
        <v>156</v>
      </c>
      <c r="B103" s="6" t="s">
        <v>157</v>
      </c>
      <c r="C103" s="6" t="s">
        <v>155</v>
      </c>
      <c r="D103" s="5" t="s">
        <v>31</v>
      </c>
      <c r="E103" s="5">
        <v>1</v>
      </c>
      <c r="F103" s="5" t="s">
        <v>13</v>
      </c>
      <c r="G103" s="5" t="str">
        <f t="shared" si="4"/>
        <v>DL22</v>
      </c>
      <c r="H103" s="43"/>
    </row>
    <row r="104" spans="1:8" s="1" customFormat="1" ht="28">
      <c r="A104" s="5" t="s">
        <v>158</v>
      </c>
      <c r="B104" s="6" t="s">
        <v>159</v>
      </c>
      <c r="C104" s="6" t="s">
        <v>155</v>
      </c>
      <c r="D104" s="5" t="s">
        <v>31</v>
      </c>
      <c r="E104" s="5">
        <v>1</v>
      </c>
      <c r="F104" s="5" t="s">
        <v>13</v>
      </c>
      <c r="G104" s="5" t="str">
        <f t="shared" si="4"/>
        <v>DL23</v>
      </c>
      <c r="H104" s="43"/>
    </row>
    <row r="105" spans="1:8" s="1" customFormat="1" ht="154">
      <c r="A105" s="5" t="s">
        <v>160</v>
      </c>
      <c r="B105" s="6" t="s">
        <v>161</v>
      </c>
      <c r="C105" s="46" t="s">
        <v>162</v>
      </c>
      <c r="D105" s="5" t="s">
        <v>31</v>
      </c>
      <c r="E105" s="5">
        <v>2</v>
      </c>
      <c r="F105" s="5" t="s">
        <v>13</v>
      </c>
      <c r="G105" s="5" t="str">
        <f t="shared" si="4"/>
        <v>DL24</v>
      </c>
      <c r="H105" s="43"/>
    </row>
    <row r="106" spans="1:8" ht="60">
      <c r="A106" s="261" t="s">
        <v>1486</v>
      </c>
      <c r="B106" s="261"/>
      <c r="C106" s="261"/>
      <c r="D106" s="261"/>
      <c r="E106" s="261"/>
      <c r="F106" s="261"/>
      <c r="G106" s="261"/>
      <c r="H106" s="40" t="s">
        <v>1487</v>
      </c>
    </row>
    <row r="107" spans="1:8">
      <c r="A107" s="3" t="s">
        <v>2</v>
      </c>
      <c r="B107" s="4" t="s">
        <v>3</v>
      </c>
      <c r="C107" s="4" t="s">
        <v>4</v>
      </c>
      <c r="D107" s="3" t="s">
        <v>5</v>
      </c>
      <c r="E107" s="4" t="s">
        <v>6</v>
      </c>
      <c r="F107" s="4" t="s">
        <v>7</v>
      </c>
      <c r="G107" s="3" t="s">
        <v>8</v>
      </c>
    </row>
    <row r="108" spans="1:8" ht="98">
      <c r="A108" s="5" t="s">
        <v>542</v>
      </c>
      <c r="B108" s="6" t="str">
        <f>A108&amp;". How involved or uninvolved are you typically in deciding how to spend your household’s income?"</f>
        <v>GN1. How involved or uninvolved are you typically in deciding how to spend your household’s income?</v>
      </c>
      <c r="C108" s="6" t="s">
        <v>543</v>
      </c>
      <c r="D108" s="5" t="s">
        <v>31</v>
      </c>
      <c r="E108" s="5">
        <v>2</v>
      </c>
      <c r="F108" s="1" t="s">
        <v>13</v>
      </c>
      <c r="G108" s="5" t="str">
        <f t="shared" ref="G108:G115" si="5">SUBSTITUTE(A108,".","_")</f>
        <v>GN1</v>
      </c>
    </row>
    <row r="109" spans="1:8" ht="98">
      <c r="A109" s="5" t="s">
        <v>544</v>
      </c>
      <c r="B109" s="6" t="str">
        <f>A109&amp;". How involved or uninvolved are you typically in deciding how your household’s income is spent on basic needs like food and clothing?"</f>
        <v>GN2. How involved or uninvolved are you typically in deciding how your household’s income is spent on basic needs like food and clothing?</v>
      </c>
      <c r="C109" s="6" t="s">
        <v>543</v>
      </c>
      <c r="D109" s="5" t="s">
        <v>31</v>
      </c>
      <c r="E109" s="5">
        <v>2</v>
      </c>
      <c r="F109" s="1" t="s">
        <v>13</v>
      </c>
      <c r="G109" s="5" t="str">
        <f t="shared" si="5"/>
        <v>GN2</v>
      </c>
    </row>
    <row r="110" spans="1:8" ht="98">
      <c r="A110" s="5" t="s">
        <v>545</v>
      </c>
      <c r="B110" s="6" t="str">
        <f>A110&amp;". How involved or uninvolved are you typically in deciding how your household’s income is spent on other things beyond basic needs?"</f>
        <v>GN3. How involved or uninvolved are you typically in deciding how your household’s income is spent on other things beyond basic needs?</v>
      </c>
      <c r="C110" s="6" t="s">
        <v>543</v>
      </c>
      <c r="D110" s="5" t="s">
        <v>31</v>
      </c>
      <c r="E110" s="5">
        <v>2</v>
      </c>
      <c r="F110" s="1" t="s">
        <v>13</v>
      </c>
      <c r="G110" s="5" t="str">
        <f t="shared" si="5"/>
        <v>GN3</v>
      </c>
    </row>
    <row r="111" spans="1:8" ht="98">
      <c r="A111" s="5" t="s">
        <v>546</v>
      </c>
      <c r="B111" s="6" t="str">
        <f>A111&amp;". If you were to speak your mind on a typical decision on how to spend your household’s income, how much influence would you have on the final decision?"</f>
        <v>GN4. If you were to speak your mind on a typical decision on how to spend your household’s income, how much influence would you have on the final decision?</v>
      </c>
      <c r="C111" s="6" t="s">
        <v>547</v>
      </c>
      <c r="D111" s="5" t="s">
        <v>31</v>
      </c>
      <c r="E111" s="5">
        <v>2</v>
      </c>
      <c r="F111" s="1" t="s">
        <v>13</v>
      </c>
      <c r="G111" s="5" t="str">
        <f t="shared" si="5"/>
        <v>GN4</v>
      </c>
    </row>
    <row r="112" spans="1:8" ht="98">
      <c r="A112" s="5" t="s">
        <v>548</v>
      </c>
      <c r="B112" s="6" t="str">
        <f>A112&amp;". If you happened to disagree with a typical decision about how your household’s income is spent, how likely would you be to voice disagreement?"</f>
        <v>GN5. If you happened to disagree with a typical decision about how your household’s income is spent, how likely would you be to voice disagreement?</v>
      </c>
      <c r="C112" s="6" t="s">
        <v>549</v>
      </c>
      <c r="D112" s="5" t="s">
        <v>31</v>
      </c>
      <c r="E112" s="5">
        <v>2</v>
      </c>
      <c r="F112" s="1" t="s">
        <v>13</v>
      </c>
      <c r="G112" s="5" t="str">
        <f t="shared" si="5"/>
        <v>GN5</v>
      </c>
    </row>
    <row r="113" spans="1:23" ht="98">
      <c r="A113" s="5" t="s">
        <v>550</v>
      </c>
      <c r="B113" s="59" t="str">
        <f>A113&amp;". Please tell me how much you agree or disagree with the following statements: You make the final decision on how household income is spent."</f>
        <v>GN6. Please tell me how much you agree or disagree with the following statements: You make the final decision on how household income is spent.</v>
      </c>
      <c r="C113" s="59" t="s">
        <v>177</v>
      </c>
      <c r="D113" s="5" t="s">
        <v>31</v>
      </c>
      <c r="E113" s="5">
        <v>2</v>
      </c>
      <c r="F113" s="1" t="s">
        <v>13</v>
      </c>
      <c r="G113" s="5" t="str">
        <f t="shared" si="5"/>
        <v>GN6</v>
      </c>
    </row>
    <row r="114" spans="1:23" ht="98">
      <c r="A114" s="5" t="s">
        <v>551</v>
      </c>
      <c r="B114" s="6" t="str">
        <f>A114&amp;". Please tell me how much you agree or disagree with the following statements: You make the final decision on how your money is spent or saved."</f>
        <v>GN7. Please tell me how much you agree or disagree with the following statements: You make the final decision on how your money is spent or saved.</v>
      </c>
      <c r="C114" s="6" t="s">
        <v>177</v>
      </c>
      <c r="D114" s="5" t="s">
        <v>31</v>
      </c>
      <c r="E114" s="5">
        <v>2</v>
      </c>
      <c r="F114" s="1" t="s">
        <v>13</v>
      </c>
      <c r="G114" s="5" t="str">
        <f t="shared" si="5"/>
        <v>GN7</v>
      </c>
    </row>
    <row r="115" spans="1:23" ht="98">
      <c r="A115" s="5" t="s">
        <v>552</v>
      </c>
      <c r="B115" s="6" t="str">
        <f>A115&amp;". Please tell me how much you agree or disagree with the following statements: You trust financial service providers to keep your personal information private unless you allow it to be shared."</f>
        <v>GN8. Please tell me how much you agree or disagree with the following statements: You trust financial service providers to keep your personal information private unless you allow it to be shared.</v>
      </c>
      <c r="C115" s="6" t="s">
        <v>177</v>
      </c>
      <c r="D115" s="5" t="s">
        <v>31</v>
      </c>
      <c r="E115" s="5">
        <v>2</v>
      </c>
      <c r="F115" s="1" t="s">
        <v>13</v>
      </c>
      <c r="G115" s="5" t="str">
        <f t="shared" si="5"/>
        <v>GN8</v>
      </c>
    </row>
    <row r="116" spans="1:23" ht="25" customHeight="1">
      <c r="A116" s="261" t="s">
        <v>1488</v>
      </c>
      <c r="B116" s="261"/>
      <c r="C116" s="261"/>
      <c r="D116" s="261"/>
      <c r="E116" s="261"/>
      <c r="F116" s="261"/>
      <c r="G116" s="261"/>
    </row>
    <row r="117" spans="1:23">
      <c r="A117" s="3" t="s">
        <v>2</v>
      </c>
      <c r="B117" s="4" t="s">
        <v>3</v>
      </c>
      <c r="C117" s="4" t="s">
        <v>4</v>
      </c>
      <c r="D117" s="3" t="s">
        <v>5</v>
      </c>
      <c r="E117" s="4" t="s">
        <v>6</v>
      </c>
      <c r="F117" s="4" t="s">
        <v>7</v>
      </c>
      <c r="G117" s="3" t="s">
        <v>8</v>
      </c>
    </row>
    <row r="118" spans="1:23" ht="70">
      <c r="A118" s="5" t="s">
        <v>1489</v>
      </c>
      <c r="B118" s="6" t="str">
        <f>A118&amp;". Please tell me how much you agree or disagree with the following statements: "&amp;Other!E2</f>
        <v>FH1. Please tell me how much you agree or disagree with the following statements: You have a plan for how your money will be used in the next few days</v>
      </c>
      <c r="C118" s="6" t="s">
        <v>1490</v>
      </c>
      <c r="D118" s="5" t="s">
        <v>31</v>
      </c>
      <c r="E118" s="5">
        <v>1</v>
      </c>
      <c r="F118" s="11" t="s">
        <v>13</v>
      </c>
      <c r="G118" s="5" t="str">
        <f t="shared" ref="G118:G129" si="6">SUBSTITUTE(A118,".","_")</f>
        <v>FH1</v>
      </c>
      <c r="H118" s="40" t="s">
        <v>1491</v>
      </c>
    </row>
    <row r="119" spans="1:23" ht="70">
      <c r="A119" s="5" t="s">
        <v>1492</v>
      </c>
      <c r="B119" s="6" t="str">
        <f>A119&amp;". Please tell me how much you agree or disagree with the following statements: "&amp;Other!E3</f>
        <v>FH2. Please tell me how much you agree or disagree with the following statements: You have goals for the next few months for what you want to achieve with your money</v>
      </c>
      <c r="C119" s="6" t="s">
        <v>1490</v>
      </c>
      <c r="D119" s="5" t="s">
        <v>31</v>
      </c>
      <c r="E119" s="5">
        <v>1</v>
      </c>
      <c r="F119" s="11" t="s">
        <v>13</v>
      </c>
      <c r="G119" s="5" t="str">
        <f t="shared" si="6"/>
        <v>FH2</v>
      </c>
    </row>
    <row r="120" spans="1:23" ht="70">
      <c r="A120" s="5" t="s">
        <v>1493</v>
      </c>
      <c r="B120" s="6" t="str">
        <f>A120&amp;". Please tell me how much you agree or disagree with the following statements: "&amp;Other!E4</f>
        <v>FH3. Please tell me how much you agree or disagree with the following statements: You have enough money to pay for your living expenses</v>
      </c>
      <c r="C120" s="6" t="s">
        <v>1490</v>
      </c>
      <c r="D120" s="5" t="s">
        <v>31</v>
      </c>
      <c r="E120" s="5">
        <v>1</v>
      </c>
      <c r="F120" s="11" t="s">
        <v>13</v>
      </c>
      <c r="G120" s="5" t="str">
        <f t="shared" si="6"/>
        <v>FH3</v>
      </c>
    </row>
    <row r="121" spans="1:23" ht="70">
      <c r="A121" s="5" t="s">
        <v>1494</v>
      </c>
      <c r="B121" s="6" t="str">
        <f>A121&amp;". Please tell me how much you agree or disagree with the following statements: "&amp;Other!E5</f>
        <v>FH4. Please tell me how much you agree or disagree with the following statements: You spend less money than you make each month</v>
      </c>
      <c r="C121" s="6" t="s">
        <v>1490</v>
      </c>
      <c r="D121" s="5" t="s">
        <v>31</v>
      </c>
      <c r="E121" s="5">
        <v>1</v>
      </c>
      <c r="F121" s="11" t="s">
        <v>13</v>
      </c>
      <c r="G121" s="5" t="str">
        <f t="shared" si="6"/>
        <v>FH4</v>
      </c>
    </row>
    <row r="122" spans="1:23" ht="70">
      <c r="A122" s="5" t="s">
        <v>1495</v>
      </c>
      <c r="B122" s="6" t="str">
        <f>A122&amp;". Please tell me how much you agree or disagree with the following statements: "&amp;Other!E6</f>
        <v>FH5. Please tell me how much you agree or disagree with the following statements: You pay your bills on time and in full</v>
      </c>
      <c r="C122" s="54" t="s">
        <v>1490</v>
      </c>
      <c r="D122" s="5" t="s">
        <v>31</v>
      </c>
      <c r="E122" s="5">
        <v>1</v>
      </c>
      <c r="F122" s="11" t="s">
        <v>13</v>
      </c>
      <c r="G122" s="5" t="str">
        <f t="shared" si="6"/>
        <v>FH5</v>
      </c>
    </row>
    <row r="123" spans="1:23" ht="70">
      <c r="A123" s="5" t="s">
        <v>1496</v>
      </c>
      <c r="B123" s="6" t="str">
        <f>A123&amp;". Please tell me how much you agree or disagree with the following statements: "&amp;Other!E7</f>
        <v>FH6. Please tell me how much you agree or disagree with the following statements: You have an emergency fund that is large enough to cover unplanned expenses</v>
      </c>
      <c r="C123" s="6" t="s">
        <v>1490</v>
      </c>
      <c r="D123" s="5" t="s">
        <v>31</v>
      </c>
      <c r="E123" s="5">
        <v>1</v>
      </c>
      <c r="F123" s="11" t="s">
        <v>13</v>
      </c>
      <c r="G123" s="5" t="str">
        <f t="shared" si="6"/>
        <v>FH6</v>
      </c>
    </row>
    <row r="124" spans="1:23" ht="70">
      <c r="A124" s="5" t="s">
        <v>1497</v>
      </c>
      <c r="B124" s="6" t="str">
        <f>A124&amp;". Please tell me how much you agree or disagree with the following statements: "&amp;Other!E8</f>
        <v>FH7. Please tell me how much you agree or disagree with the following statements: You are confident that your income will grow in the future</v>
      </c>
      <c r="C124" s="54" t="s">
        <v>1490</v>
      </c>
      <c r="D124" s="5" t="s">
        <v>31</v>
      </c>
      <c r="E124" s="5">
        <v>1</v>
      </c>
      <c r="F124" s="11" t="s">
        <v>13</v>
      </c>
      <c r="G124" s="5" t="str">
        <f t="shared" si="6"/>
        <v>FH7</v>
      </c>
    </row>
    <row r="125" spans="1:23" ht="70">
      <c r="A125" s="5" t="s">
        <v>1498</v>
      </c>
      <c r="B125" s="6" t="str">
        <f>A125&amp;". Please tell me how much you agree or disagree with the following statements: "&amp;Other!E9</f>
        <v>FH8. Please tell me how much you agree or disagree with the following statements: You earn enough money to pay back debt and also pay for living expenses</v>
      </c>
      <c r="C125" s="54" t="s">
        <v>1490</v>
      </c>
      <c r="D125" s="5" t="s">
        <v>31</v>
      </c>
      <c r="E125" s="5">
        <v>1</v>
      </c>
      <c r="F125" s="11" t="s">
        <v>13</v>
      </c>
      <c r="G125" s="5" t="str">
        <f t="shared" si="6"/>
        <v>FH8</v>
      </c>
    </row>
    <row r="126" spans="1:23" ht="70">
      <c r="A126" s="5" t="s">
        <v>1499</v>
      </c>
      <c r="B126" s="6" t="str">
        <f>A126&amp;". Please tell me how much you agree or disagree with the following statements: "&amp;Other!E10</f>
        <v>FH9. Please tell me how much you agree or disagree with the following statements: Friends and family rely on you to help with their finances</v>
      </c>
      <c r="C126" s="6" t="s">
        <v>1490</v>
      </c>
      <c r="D126" s="5" t="s">
        <v>31</v>
      </c>
      <c r="E126" s="5">
        <v>1</v>
      </c>
      <c r="F126" s="11" t="s">
        <v>13</v>
      </c>
      <c r="G126" s="5" t="str">
        <f t="shared" si="6"/>
        <v>FH9</v>
      </c>
      <c r="I126" s="12"/>
      <c r="J126" s="12"/>
      <c r="K126" s="12"/>
      <c r="L126" s="12"/>
      <c r="M126" s="12"/>
      <c r="N126" s="12"/>
      <c r="O126" s="12"/>
      <c r="P126" s="12"/>
      <c r="Q126" s="12"/>
      <c r="R126" s="12"/>
      <c r="S126" s="12"/>
      <c r="T126" s="12"/>
      <c r="U126" s="12"/>
      <c r="V126" s="12"/>
      <c r="W126" s="12"/>
    </row>
    <row r="127" spans="1:23" s="1" customFormat="1" ht="70">
      <c r="A127" s="5" t="s">
        <v>1500</v>
      </c>
      <c r="B127" s="6" t="str">
        <f>A127&amp;". Please tell me how much you agree or disagree with the following statements: "&amp;Other!E11</f>
        <v>FH10. Please tell me how much you agree or disagree with the following statements: You have savings or assets that will keep you financially secure in the future</v>
      </c>
      <c r="C127" s="6" t="s">
        <v>1490</v>
      </c>
      <c r="D127" s="5" t="s">
        <v>31</v>
      </c>
      <c r="E127" s="5">
        <v>1</v>
      </c>
      <c r="F127" s="11" t="s">
        <v>13</v>
      </c>
      <c r="G127" s="5" t="str">
        <f t="shared" si="6"/>
        <v>FH10</v>
      </c>
      <c r="H127" s="43"/>
    </row>
    <row r="128" spans="1:23" ht="70">
      <c r="A128" s="5" t="s">
        <v>1501</v>
      </c>
      <c r="B128" s="6" t="str">
        <f>A128&amp;". Please tell me how much you agree or disagree with the following statements: "&amp;Other!E12</f>
        <v>FH11. Please tell me how much you agree or disagree with the following statements: You have the skills and knowledge to manage your finances well</v>
      </c>
      <c r="C128" s="6" t="s">
        <v>1490</v>
      </c>
      <c r="D128" s="5" t="s">
        <v>31</v>
      </c>
      <c r="E128" s="5">
        <v>1</v>
      </c>
      <c r="F128" s="11" t="s">
        <v>13</v>
      </c>
      <c r="G128" s="5" t="str">
        <f t="shared" si="6"/>
        <v>FH11</v>
      </c>
    </row>
    <row r="129" spans="1:23" ht="84">
      <c r="A129" s="5" t="s">
        <v>1502</v>
      </c>
      <c r="B129" s="6" t="str">
        <f>A129&amp;". Now, imagine that you have a medical emergency and you need to pay Rp. 2,550,000. How easy or difficult would it be for you to get the Rp. 2,550,000 within the next month?"</f>
        <v>FH12. Now, imagine that you have a medical emergency and you need to pay Rp. 2,550,000. How easy or difficult would it be for you to get the Rp. 2,550,000 within the next month?</v>
      </c>
      <c r="C129" s="6" t="s">
        <v>1503</v>
      </c>
      <c r="D129" s="5" t="s">
        <v>31</v>
      </c>
      <c r="E129" s="5">
        <v>2</v>
      </c>
      <c r="F129" s="11" t="s">
        <v>13</v>
      </c>
      <c r="G129" s="5" t="str">
        <f t="shared" si="6"/>
        <v>FH12</v>
      </c>
    </row>
    <row r="130" spans="1:23" ht="25" customHeight="1">
      <c r="A130" s="262" t="s">
        <v>1504</v>
      </c>
      <c r="B130" s="262"/>
      <c r="C130" s="262"/>
      <c r="D130" s="262"/>
      <c r="E130" s="262"/>
      <c r="F130" s="262"/>
      <c r="G130" s="262"/>
    </row>
    <row r="131" spans="1:23">
      <c r="A131" s="3" t="s">
        <v>2</v>
      </c>
      <c r="B131" s="4" t="s">
        <v>3</v>
      </c>
      <c r="C131" s="4" t="s">
        <v>4</v>
      </c>
      <c r="D131" s="3" t="s">
        <v>5</v>
      </c>
      <c r="E131" s="4" t="s">
        <v>6</v>
      </c>
      <c r="F131" s="4" t="s">
        <v>7</v>
      </c>
      <c r="G131" s="3" t="s">
        <v>8</v>
      </c>
    </row>
    <row r="132" spans="1:23" s="1" customFormat="1" ht="42">
      <c r="A132" s="5" t="s">
        <v>538</v>
      </c>
      <c r="B132" s="6" t="str">
        <f>A132&amp;". Imagine you have Rp. 10,000. Somebody gave you Rp. 2,000. How much total money will you have? [DO NOT READ ANSWERS]"</f>
        <v>FL12. Imagine you have Rp. 10,000. Somebody gave you Rp. 2,000. How much total money will you have? [DO NOT READ ANSWERS]</v>
      </c>
      <c r="C132" s="6" t="s">
        <v>1505</v>
      </c>
      <c r="D132" s="5" t="s">
        <v>31</v>
      </c>
      <c r="E132" s="5">
        <v>2</v>
      </c>
      <c r="F132" s="1" t="s">
        <v>13</v>
      </c>
      <c r="G132" s="5" t="str">
        <f t="shared" ref="G132:G138" si="7">LEFT(A132,4)</f>
        <v>FL12</v>
      </c>
      <c r="H132" s="43"/>
    </row>
    <row r="133" spans="1:23" s="1" customFormat="1" ht="42">
      <c r="A133" s="5" t="s">
        <v>539</v>
      </c>
      <c r="B133" s="6" t="str">
        <f>A133&amp;". If 5 brothers are given Rp. 100,000, and they have to divide the money equally, how much money do they each receive? [DO NOT READ ANSWERS]"</f>
        <v>FL13. If 5 brothers are given Rp. 100,000, and they have to divide the money equally, how much money do they each receive? [DO NOT READ ANSWERS]</v>
      </c>
      <c r="C133" s="6" t="s">
        <v>1506</v>
      </c>
      <c r="D133" s="5" t="s">
        <v>31</v>
      </c>
      <c r="E133" s="5">
        <v>2</v>
      </c>
      <c r="F133" s="1" t="s">
        <v>13</v>
      </c>
      <c r="G133" s="5" t="str">
        <f t="shared" si="7"/>
        <v>FL13</v>
      </c>
      <c r="H133" s="43"/>
    </row>
    <row r="134" spans="1:23" s="1" customFormat="1" ht="42">
      <c r="A134" s="5" t="s">
        <v>1507</v>
      </c>
      <c r="B134" s="6" t="str">
        <f>A134&amp;". Is it safer to put your money into one business or investment, or to put your money into multiple businesses or investments? "</f>
        <v xml:space="preserve">FL14. Is it safer to put your money into one business or investment, or to put your money into multiple businesses or investments? </v>
      </c>
      <c r="C134" s="6" t="s">
        <v>1508</v>
      </c>
      <c r="D134" s="5" t="s">
        <v>31</v>
      </c>
      <c r="E134" s="5">
        <v>2</v>
      </c>
      <c r="F134" s="1" t="s">
        <v>13</v>
      </c>
      <c r="G134" s="5" t="str">
        <f t="shared" si="7"/>
        <v>FL14</v>
      </c>
      <c r="H134" s="43"/>
    </row>
    <row r="135" spans="1:23" s="1" customFormat="1" ht="56">
      <c r="A135" s="5" t="s">
        <v>1509</v>
      </c>
      <c r="B135" s="6" t="str">
        <f>A135&amp;". Suppose over the next 10 years the prices of the things you buy double. If your income also doubles, will you be able to buy less than you can buy today, the same as you can buy today, or more than you can buy today?"</f>
        <v>FL15. Suppose over the next 10 years the prices of the things you buy double. If your income also doubles, will you be able to buy less than you can buy today, the same as you can buy today, or more than you can buy today?</v>
      </c>
      <c r="C135" s="6" t="s">
        <v>1510</v>
      </c>
      <c r="D135" s="5" t="s">
        <v>31</v>
      </c>
      <c r="E135" s="5">
        <v>2</v>
      </c>
      <c r="F135" s="1" t="s">
        <v>13</v>
      </c>
      <c r="G135" s="5" t="str">
        <f t="shared" si="7"/>
        <v>FL15</v>
      </c>
      <c r="H135" s="43"/>
    </row>
    <row r="136" spans="1:23" s="1" customFormat="1" ht="42">
      <c r="A136" s="5" t="s">
        <v>540</v>
      </c>
      <c r="B136" s="6" t="str">
        <f>A136&amp;". Suppose you need to borrow Rp. 100,000. Which is the lower amount to pay back: Rp. 105,000  or Rp. 100,000 plus 3 percent? "</f>
        <v xml:space="preserve">FL16. Suppose you need to borrow Rp. 100,000. Which is the lower amount to pay back: Rp. 105,000  or Rp. 100,000 plus 3 percent? </v>
      </c>
      <c r="C136" s="6" t="s">
        <v>1511</v>
      </c>
      <c r="D136" s="5" t="s">
        <v>31</v>
      </c>
      <c r="E136" s="5">
        <v>2</v>
      </c>
      <c r="F136" s="1" t="s">
        <v>13</v>
      </c>
      <c r="G136" s="5" t="str">
        <f t="shared" si="7"/>
        <v>FL16</v>
      </c>
      <c r="H136" s="43"/>
    </row>
    <row r="137" spans="1:23" s="1" customFormat="1" ht="42">
      <c r="A137" s="5" t="s">
        <v>1512</v>
      </c>
      <c r="B137" s="6" t="str">
        <f>A137&amp;". Suppose you put money in the bank for two years and the bank agrees to add 15 percent per year to your account. Will the bank add more money to your account the second year than it did the first year, or will it add the same amount of money both years?"</f>
        <v>FL17. Suppose you put money in the bank for two years and the bank agrees to add 15 percent per year to your account. Will the bank add more money to your account the second year than it did the first year, or will it add the same amount of money both years?</v>
      </c>
      <c r="C137" s="6" t="s">
        <v>1513</v>
      </c>
      <c r="D137" s="5" t="s">
        <v>31</v>
      </c>
      <c r="E137" s="5">
        <v>2</v>
      </c>
      <c r="F137" s="1" t="s">
        <v>13</v>
      </c>
      <c r="G137" s="5" t="str">
        <f t="shared" si="7"/>
        <v>FL17</v>
      </c>
      <c r="H137" s="43"/>
    </row>
    <row r="138" spans="1:23" s="1" customFormat="1" ht="56">
      <c r="A138" s="5" t="s">
        <v>541</v>
      </c>
      <c r="B138" s="6" t="str">
        <f>A138&amp;". Suppose you keep Rp. 100,000 in a savings account and the bank adds 10 percent per year to the account. How much money would you have in the account after five years if you did not remove any money from the account?"</f>
        <v>FL18. Suppose you keep Rp. 100,000 in a savings account and the bank adds 10 percent per year to the account. How much money would you have in the account after five years if you did not remove any money from the account?</v>
      </c>
      <c r="C138" s="6" t="s">
        <v>1514</v>
      </c>
      <c r="D138" s="5" t="s">
        <v>31</v>
      </c>
      <c r="E138" s="5">
        <v>2</v>
      </c>
      <c r="F138" s="1" t="s">
        <v>13</v>
      </c>
      <c r="G138" s="5" t="str">
        <f t="shared" si="7"/>
        <v>FL18</v>
      </c>
      <c r="H138" s="43"/>
    </row>
    <row r="139" spans="1:23" ht="98">
      <c r="A139" s="5" t="s">
        <v>1515</v>
      </c>
      <c r="B139" s="6" t="str">
        <f>A139&amp;". Please look at the screen and select the number of dots shown in the picture. [TURN THE SCREEN TO THE RESPONDENT AND ALLOW THE RESPONDENT TO SELECT THE ANSWER.]"</f>
        <v>FL19. Please look at the screen and select the number of dots shown in the picture. [TURN THE SCREEN TO THE RESPONDENT AND ALLOW THE RESPONDENT TO SELECT THE ANSWER.]</v>
      </c>
      <c r="C139" s="54" t="s">
        <v>1516</v>
      </c>
      <c r="D139" s="5" t="s">
        <v>31</v>
      </c>
      <c r="E139" s="62">
        <v>2</v>
      </c>
      <c r="F139" s="1" t="s">
        <v>13</v>
      </c>
      <c r="G139" s="5" t="str">
        <f>SUBSTITUTE(A139,".","_")</f>
        <v>FL19</v>
      </c>
    </row>
    <row r="140" spans="1:23" ht="84">
      <c r="A140" s="5" t="s">
        <v>1517</v>
      </c>
      <c r="B140" s="6" t="str">
        <f>A140&amp;". [READ OUT 208,500 Rp.] Please identify the sum of money I just read by selecting your answer. [ADVANCE TO THE NEXT SCREEN. TURN THE SCREEN TO THE RESPONDENT AND ALLOW THE RESPONDENT TO SELECT THE ANSWER.]"</f>
        <v>FL20. [READ OUT 208,500 Rp.] Please identify the sum of money I just read by selecting your answer. [ADVANCE TO THE NEXT SCREEN. TURN THE SCREEN TO THE RESPONDENT AND ALLOW THE RESPONDENT TO SELECT THE ANSWER.]</v>
      </c>
      <c r="C140" s="54" t="s">
        <v>1518</v>
      </c>
      <c r="D140" s="5" t="s">
        <v>31</v>
      </c>
      <c r="E140" s="62">
        <v>2</v>
      </c>
      <c r="F140" s="1" t="s">
        <v>13</v>
      </c>
      <c r="G140" s="5" t="str">
        <f>SUBSTITUTE(A140,".","_")</f>
        <v>FL20</v>
      </c>
    </row>
    <row r="141" spans="1:23" ht="42">
      <c r="A141" s="5" t="s">
        <v>1519</v>
      </c>
      <c r="B141" s="6" t="str">
        <f>A141&amp;". If you saved Rp. 60,000 per month, how many Rp. would you have after three months? [DO NOT READ ANSWERS]"</f>
        <v>FL21. If you saved Rp. 60,000 per month, how many Rp. would you have after three months? [DO NOT READ ANSWERS]</v>
      </c>
      <c r="C141" s="6" t="s">
        <v>1520</v>
      </c>
      <c r="D141" s="5" t="s">
        <v>31</v>
      </c>
      <c r="E141" s="5">
        <v>2</v>
      </c>
      <c r="F141" s="1" t="s">
        <v>13</v>
      </c>
      <c r="G141" s="5" t="str">
        <f>SUBSTITUTE(A141,".","_")</f>
        <v>FL21</v>
      </c>
    </row>
    <row r="142" spans="1:23" ht="28.5" customHeight="1">
      <c r="I142" s="12"/>
      <c r="J142" s="12"/>
      <c r="K142" s="12"/>
      <c r="L142" s="12"/>
      <c r="M142" s="12"/>
      <c r="N142" s="12"/>
      <c r="O142" s="12"/>
      <c r="P142" s="12"/>
      <c r="Q142" s="12"/>
      <c r="R142" s="12"/>
      <c r="S142" s="12"/>
      <c r="T142" s="12"/>
      <c r="U142" s="12"/>
      <c r="V142" s="12"/>
      <c r="W142" s="12"/>
    </row>
    <row r="143" spans="1:23" s="1" customFormat="1" ht="13"/>
    <row r="153" spans="9:23">
      <c r="I153" s="12"/>
      <c r="J153" s="12"/>
      <c r="K153" s="12"/>
      <c r="L153" s="12"/>
      <c r="M153" s="12"/>
      <c r="N153" s="12"/>
      <c r="O153" s="12"/>
      <c r="P153" s="12"/>
      <c r="Q153" s="12"/>
      <c r="R153" s="12"/>
      <c r="S153" s="12"/>
      <c r="T153" s="12"/>
      <c r="U153" s="12"/>
      <c r="V153" s="12"/>
      <c r="W153" s="12"/>
    </row>
    <row r="154" spans="9:23">
      <c r="I154" s="12"/>
      <c r="J154" s="12"/>
      <c r="K154" s="12"/>
      <c r="L154" s="12"/>
      <c r="M154" s="12"/>
      <c r="N154" s="12"/>
      <c r="O154" s="12"/>
      <c r="P154" s="12"/>
      <c r="Q154" s="12"/>
      <c r="R154" s="12"/>
      <c r="S154" s="12"/>
      <c r="T154" s="12"/>
      <c r="U154" s="12"/>
      <c r="V154" s="12"/>
      <c r="W154" s="12"/>
    </row>
    <row r="155" spans="9:23">
      <c r="I155" s="12"/>
      <c r="J155" s="12"/>
      <c r="K155" s="12"/>
      <c r="L155" s="12"/>
      <c r="M155" s="12"/>
      <c r="N155" s="12"/>
      <c r="O155" s="12"/>
      <c r="P155" s="12"/>
      <c r="Q155" s="12"/>
      <c r="R155" s="12"/>
      <c r="S155" s="12"/>
      <c r="T155" s="12"/>
      <c r="U155" s="12"/>
      <c r="V155" s="12"/>
      <c r="W155" s="12"/>
    </row>
    <row r="156" spans="9:23">
      <c r="I156" s="12"/>
      <c r="J156" s="12"/>
      <c r="K156" s="12"/>
      <c r="L156" s="12"/>
      <c r="M156" s="12"/>
      <c r="N156" s="12"/>
      <c r="O156" s="12"/>
      <c r="P156" s="12"/>
      <c r="Q156" s="12"/>
      <c r="R156" s="12"/>
      <c r="S156" s="12"/>
      <c r="T156" s="12"/>
      <c r="U156" s="12"/>
      <c r="V156" s="12"/>
      <c r="W156" s="12"/>
    </row>
    <row r="157" spans="9:23">
      <c r="I157" s="12"/>
      <c r="J157" s="12"/>
      <c r="K157" s="12"/>
      <c r="L157" s="12"/>
      <c r="M157" s="12"/>
      <c r="N157" s="12"/>
      <c r="O157" s="12"/>
      <c r="P157" s="12"/>
      <c r="Q157" s="12"/>
      <c r="R157" s="12"/>
      <c r="S157" s="12"/>
      <c r="T157" s="12"/>
      <c r="U157" s="12"/>
      <c r="V157" s="12"/>
      <c r="W157" s="12"/>
    </row>
    <row r="158" spans="9:23">
      <c r="I158" s="12"/>
      <c r="J158" s="12"/>
      <c r="K158" s="12"/>
      <c r="L158" s="12"/>
      <c r="M158" s="12"/>
      <c r="N158" s="12"/>
      <c r="O158" s="12"/>
      <c r="P158" s="12"/>
      <c r="Q158" s="12"/>
      <c r="R158" s="12"/>
      <c r="S158" s="12"/>
      <c r="T158" s="12"/>
      <c r="U158" s="12"/>
      <c r="V158" s="12"/>
      <c r="W158" s="12"/>
    </row>
    <row r="159" spans="9:23">
      <c r="I159" s="12"/>
      <c r="J159" s="12"/>
      <c r="K159" s="12"/>
      <c r="L159" s="12"/>
      <c r="M159" s="12"/>
      <c r="N159" s="12"/>
      <c r="O159" s="12"/>
      <c r="P159" s="12"/>
      <c r="Q159" s="12"/>
      <c r="R159" s="12"/>
      <c r="S159" s="12"/>
      <c r="T159" s="12"/>
      <c r="U159" s="12"/>
      <c r="V159" s="12"/>
      <c r="W159" s="12"/>
    </row>
    <row r="160" spans="9:23">
      <c r="I160" s="12"/>
      <c r="J160" s="12"/>
      <c r="K160" s="12"/>
      <c r="L160" s="12"/>
      <c r="M160" s="12"/>
      <c r="N160" s="12"/>
      <c r="O160" s="12"/>
      <c r="P160" s="12"/>
      <c r="Q160" s="12"/>
      <c r="R160" s="12"/>
      <c r="S160" s="12"/>
      <c r="T160" s="12"/>
      <c r="U160" s="12"/>
      <c r="V160" s="12"/>
      <c r="W160" s="12"/>
    </row>
    <row r="161" spans="9:23" s="1" customFormat="1" ht="13"/>
    <row r="171" spans="9:23" ht="15" customHeight="1">
      <c r="I171" s="12"/>
      <c r="J171" s="12"/>
      <c r="K171" s="12"/>
      <c r="L171" s="12"/>
      <c r="M171" s="12"/>
      <c r="N171" s="12"/>
      <c r="O171" s="12"/>
      <c r="P171" s="12"/>
      <c r="Q171" s="12"/>
      <c r="R171" s="12"/>
      <c r="S171" s="12"/>
      <c r="T171" s="12"/>
      <c r="U171" s="12"/>
      <c r="V171" s="12"/>
      <c r="W171" s="12"/>
    </row>
    <row r="172" spans="9:23" s="1" customFormat="1" ht="13"/>
    <row r="185" spans="1:23">
      <c r="I185" s="12"/>
      <c r="J185" s="12"/>
      <c r="K185" s="12"/>
      <c r="L185" s="12"/>
      <c r="M185" s="12"/>
      <c r="N185" s="12"/>
      <c r="O185" s="12"/>
      <c r="P185" s="12"/>
      <c r="Q185" s="12"/>
      <c r="R185" s="12"/>
      <c r="S185" s="12"/>
      <c r="T185" s="12"/>
      <c r="U185" s="12"/>
      <c r="V185" s="12"/>
      <c r="W185" s="12"/>
    </row>
    <row r="186" spans="1:23" ht="50" customHeight="1">
      <c r="A186" s="262" t="s">
        <v>1521</v>
      </c>
      <c r="B186" s="262"/>
      <c r="C186" s="262"/>
      <c r="D186" s="262"/>
      <c r="E186" s="262"/>
      <c r="F186" s="262"/>
      <c r="G186" s="262"/>
      <c r="H186" s="40" t="s">
        <v>1522</v>
      </c>
      <c r="I186" s="12"/>
      <c r="J186" s="12"/>
      <c r="K186" s="12"/>
      <c r="L186" s="12"/>
      <c r="M186" s="12"/>
      <c r="N186" s="12"/>
      <c r="O186" s="12"/>
      <c r="P186" s="12"/>
      <c r="Q186" s="12"/>
      <c r="R186" s="12"/>
      <c r="S186" s="12"/>
      <c r="T186" s="12"/>
      <c r="U186" s="12"/>
      <c r="V186" s="12"/>
      <c r="W186" s="12"/>
    </row>
    <row r="187" spans="1:23" s="1" customFormat="1" ht="13">
      <c r="A187" s="3" t="s">
        <v>2</v>
      </c>
      <c r="B187" s="4" t="s">
        <v>3</v>
      </c>
      <c r="C187" s="4" t="s">
        <v>4</v>
      </c>
      <c r="D187" s="3" t="s">
        <v>5</v>
      </c>
      <c r="E187" s="4" t="s">
        <v>6</v>
      </c>
      <c r="F187" s="4" t="s">
        <v>7</v>
      </c>
      <c r="G187" s="3" t="s">
        <v>8</v>
      </c>
      <c r="H187" s="43"/>
    </row>
    <row r="188" spans="1:23" s="1" customFormat="1" ht="42">
      <c r="A188" s="5" t="s">
        <v>342</v>
      </c>
      <c r="B188" s="7" t="str">
        <f>A188&amp;". An account can be used to save money, to make or receive payments, or to receive wages or financial help. Do you, either by yourself or together with someone else, currently have an account at a bank or another type of formal financial institution?"</f>
        <v>FNX. An account can be used to save money, to make or receive payments, or to receive wages or financial help. Do you, either by yourself or together with someone else, currently have an account at a bank or another type of formal financial institution?</v>
      </c>
      <c r="C188" s="32" t="s">
        <v>95</v>
      </c>
      <c r="D188" s="9" t="s">
        <v>31</v>
      </c>
      <c r="E188" s="9">
        <v>1</v>
      </c>
      <c r="F188" s="55" t="s">
        <v>13</v>
      </c>
      <c r="G188" s="5" t="str">
        <f>SUBSTITUTE(A188,".","_")</f>
        <v>FNX</v>
      </c>
      <c r="H188" s="43"/>
    </row>
    <row r="189" spans="1:23" s="1" customFormat="1" ht="28">
      <c r="A189" s="5" t="s">
        <v>343</v>
      </c>
      <c r="B189" s="7" t="str">
        <f>A189&amp;". Does anyone in your household currently have an account at a bank?"</f>
        <v>FNXH. Does anyone in your household currently have an account at a bank?</v>
      </c>
      <c r="C189" s="32" t="s">
        <v>95</v>
      </c>
      <c r="D189" s="9" t="s">
        <v>31</v>
      </c>
      <c r="E189" s="9">
        <v>1</v>
      </c>
      <c r="F189" s="55" t="s">
        <v>344</v>
      </c>
      <c r="G189" s="5" t="str">
        <f t="shared" ref="G189:G252" si="8">SUBSTITUTE(A189,".","_")</f>
        <v>FNXH</v>
      </c>
      <c r="H189" s="43" t="s">
        <v>1523</v>
      </c>
    </row>
    <row r="190" spans="1:23" s="65" customFormat="1" ht="28">
      <c r="A190" s="5" t="s">
        <v>1524</v>
      </c>
      <c r="B190" s="6" t="str">
        <f>A190&amp;". Have you ever used a product or service of a "&amp;Institution!A2&amp;"?"</f>
        <v>FN1.1. Have you ever used a product or service of a bank?</v>
      </c>
      <c r="C190" s="32" t="s">
        <v>95</v>
      </c>
      <c r="D190" s="9" t="s">
        <v>31</v>
      </c>
      <c r="E190" s="9">
        <v>1</v>
      </c>
      <c r="F190" s="55" t="s">
        <v>13</v>
      </c>
      <c r="G190" s="5" t="str">
        <f t="shared" si="8"/>
        <v>FN1_1</v>
      </c>
      <c r="H190" s="63"/>
      <c r="I190" s="64"/>
      <c r="J190" s="64"/>
      <c r="K190" s="64"/>
      <c r="L190" s="64"/>
      <c r="M190" s="64"/>
      <c r="N190" s="64"/>
      <c r="O190" s="64"/>
      <c r="P190" s="64"/>
      <c r="Q190" s="64"/>
      <c r="R190" s="64"/>
      <c r="S190" s="64"/>
      <c r="T190" s="64"/>
      <c r="U190" s="64"/>
      <c r="V190" s="64"/>
      <c r="W190" s="64"/>
    </row>
    <row r="191" spans="1:23" s="65" customFormat="1" ht="32">
      <c r="A191" s="9" t="s">
        <v>1525</v>
      </c>
      <c r="B191" s="6" t="str">
        <f>A191 &amp;". Do you have a bank account (current, savings, time deposit, loan account, etc) that is registered in your name or jointly in your name and someone else's name?"</f>
        <v>FN1.2. Do you have a bank account (current, savings, time deposit, loan account, etc) that is registered in your name or jointly in your name and someone else's name?</v>
      </c>
      <c r="C191" s="32" t="s">
        <v>95</v>
      </c>
      <c r="D191" s="9" t="s">
        <v>31</v>
      </c>
      <c r="E191" s="9">
        <v>1</v>
      </c>
      <c r="F191" s="55" t="s">
        <v>13</v>
      </c>
      <c r="G191" s="5" t="str">
        <f t="shared" si="8"/>
        <v>FN1_2</v>
      </c>
      <c r="H191" s="63" t="s">
        <v>1526</v>
      </c>
      <c r="I191" s="64"/>
      <c r="J191" s="64"/>
      <c r="K191" s="64"/>
      <c r="L191" s="64"/>
      <c r="M191" s="64"/>
      <c r="N191" s="64"/>
      <c r="O191" s="64"/>
      <c r="P191" s="64"/>
      <c r="Q191" s="64"/>
      <c r="R191" s="64"/>
      <c r="S191" s="64"/>
      <c r="T191" s="64"/>
      <c r="U191" s="64"/>
      <c r="V191" s="64"/>
      <c r="W191" s="64"/>
    </row>
    <row r="192" spans="1:23" s="68" customFormat="1" ht="98">
      <c r="A192" s="66" t="s">
        <v>1527</v>
      </c>
      <c r="B192" s="67" t="str">
        <f>A192&amp;" When was the last time you used your bank account?"</f>
        <v>FN1.3 When was the last time you used your bank account?</v>
      </c>
      <c r="C192" s="32" t="s">
        <v>1528</v>
      </c>
      <c r="D192" s="9" t="s">
        <v>31</v>
      </c>
      <c r="E192" s="9">
        <v>1</v>
      </c>
      <c r="F192" s="55" t="s">
        <v>1529</v>
      </c>
      <c r="G192" s="5" t="str">
        <f t="shared" si="8"/>
        <v>FN1_3</v>
      </c>
      <c r="H192" s="39"/>
      <c r="I192" s="37"/>
      <c r="J192" s="37"/>
      <c r="K192" s="37"/>
      <c r="L192" s="37"/>
      <c r="M192" s="37"/>
      <c r="N192" s="37"/>
      <c r="O192" s="37"/>
      <c r="P192" s="37"/>
      <c r="Q192" s="37"/>
      <c r="R192" s="37"/>
      <c r="S192" s="37"/>
      <c r="T192" s="37"/>
      <c r="U192" s="37"/>
      <c r="V192" s="37"/>
      <c r="W192" s="37"/>
    </row>
    <row r="193" spans="1:23" s="68" customFormat="1" ht="42">
      <c r="A193" s="24" t="s">
        <v>1530</v>
      </c>
      <c r="B193" s="69" t="str">
        <f>A193&amp;".Do you currently have a TabunganKu account?"</f>
        <v>FN1.4.Do you currently have a TabunganKu account?</v>
      </c>
      <c r="C193" s="70" t="s">
        <v>1531</v>
      </c>
      <c r="D193" s="9" t="s">
        <v>31</v>
      </c>
      <c r="E193" s="9">
        <v>2</v>
      </c>
      <c r="F193" s="55" t="s">
        <v>1529</v>
      </c>
      <c r="G193" s="5" t="str">
        <f t="shared" si="8"/>
        <v>FN1_4</v>
      </c>
      <c r="H193" s="39" t="s">
        <v>1532</v>
      </c>
      <c r="I193" s="37"/>
      <c r="J193" s="37"/>
      <c r="K193" s="37"/>
      <c r="L193" s="37"/>
      <c r="M193" s="37"/>
      <c r="N193" s="37"/>
      <c r="O193" s="37"/>
      <c r="P193" s="37"/>
      <c r="Q193" s="37"/>
      <c r="R193" s="37"/>
      <c r="S193" s="37"/>
      <c r="T193" s="37"/>
      <c r="U193" s="37"/>
      <c r="V193" s="37"/>
      <c r="W193" s="37"/>
    </row>
    <row r="194" spans="1:23" s="68" customFormat="1" ht="28">
      <c r="A194" s="71" t="s">
        <v>1533</v>
      </c>
      <c r="B194" s="72" t="str">
        <f>A194&amp;". Have you ever used an ATM card, credit card, or other EDC to get cash from a machine?"</f>
        <v>FN1.5. Have you ever used an ATM card, credit card, or other EDC to get cash from a machine?</v>
      </c>
      <c r="C194" s="6" t="s">
        <v>95</v>
      </c>
      <c r="D194" s="5" t="s">
        <v>31</v>
      </c>
      <c r="E194" s="5">
        <v>1</v>
      </c>
      <c r="F194" s="7" t="s">
        <v>13</v>
      </c>
      <c r="G194" s="9" t="str">
        <f t="shared" si="8"/>
        <v>FN1_5</v>
      </c>
      <c r="H194" s="40" t="s">
        <v>1534</v>
      </c>
      <c r="I194" s="37"/>
      <c r="J194" s="37"/>
      <c r="K194" s="37"/>
      <c r="L194" s="37"/>
      <c r="M194" s="37"/>
      <c r="N194" s="37"/>
      <c r="O194" s="37"/>
      <c r="P194" s="37"/>
      <c r="Q194" s="37"/>
      <c r="R194" s="37"/>
      <c r="S194" s="37"/>
      <c r="T194" s="37"/>
      <c r="U194" s="37"/>
      <c r="V194" s="37"/>
      <c r="W194" s="37"/>
    </row>
    <row r="195" spans="1:23" ht="28">
      <c r="A195" s="71" t="s">
        <v>1535</v>
      </c>
      <c r="B195" s="6" t="str">
        <f>A195&amp;". Do you have "&amp;Other!J7&amp;"?"</f>
        <v>FN1.6. Do you have an EDC you can use to get cash from a machine?</v>
      </c>
      <c r="C195" s="32" t="s">
        <v>125</v>
      </c>
      <c r="D195" s="9" t="s">
        <v>31</v>
      </c>
      <c r="E195" s="9">
        <v>1</v>
      </c>
      <c r="F195" s="73" t="s">
        <v>1536</v>
      </c>
      <c r="G195" s="5" t="str">
        <f>SUBSTITUTE(A195,".","_")</f>
        <v>FN1_6</v>
      </c>
      <c r="H195" s="40" t="s">
        <v>1534</v>
      </c>
      <c r="I195" s="12"/>
      <c r="J195" s="12"/>
      <c r="K195" s="12"/>
      <c r="L195" s="12"/>
      <c r="M195" s="12"/>
      <c r="N195" s="12"/>
      <c r="O195" s="12"/>
      <c r="P195" s="12"/>
      <c r="Q195" s="12"/>
      <c r="R195" s="12"/>
      <c r="S195" s="12"/>
      <c r="T195" s="12"/>
      <c r="U195" s="12"/>
      <c r="V195" s="12"/>
      <c r="W195" s="12"/>
    </row>
    <row r="196" spans="1:23" ht="84">
      <c r="A196" s="71" t="s">
        <v>1537</v>
      </c>
      <c r="B196" s="69" t="str">
        <f>A196&amp;". When was the last time you used a card to get cash from a machine or ATM?"</f>
        <v>FN1.7. When was the last time you used a card to get cash from a machine or ATM?</v>
      </c>
      <c r="C196" s="67" t="s">
        <v>1538</v>
      </c>
      <c r="D196" s="13" t="s">
        <v>31</v>
      </c>
      <c r="E196" s="13">
        <v>1</v>
      </c>
      <c r="F196" s="73" t="s">
        <v>1539</v>
      </c>
      <c r="G196" s="9" t="str">
        <f t="shared" ref="G196" si="9">SUBSTITUTE(A196,".","_")</f>
        <v>FN1_7</v>
      </c>
      <c r="I196" s="12"/>
      <c r="J196" s="12"/>
      <c r="K196" s="12"/>
      <c r="L196" s="12"/>
      <c r="M196" s="12"/>
      <c r="N196" s="12"/>
      <c r="O196" s="12"/>
      <c r="P196" s="12"/>
      <c r="Q196" s="12"/>
      <c r="R196" s="12"/>
      <c r="S196" s="12"/>
      <c r="T196" s="12"/>
      <c r="U196" s="12"/>
      <c r="V196" s="12"/>
      <c r="W196" s="12"/>
    </row>
    <row r="197" spans="1:23" s="75" customFormat="1" ht="28">
      <c r="A197" s="71" t="s">
        <v>1540</v>
      </c>
      <c r="B197" s="6" t="str">
        <f>A197&amp;". Do you have a credit card that you can use to buy something now and pay later?"</f>
        <v>FN1.8. Do you have a credit card that you can use to buy something now and pay later?</v>
      </c>
      <c r="C197" s="32" t="s">
        <v>125</v>
      </c>
      <c r="D197" s="9" t="s">
        <v>31</v>
      </c>
      <c r="E197" s="9">
        <v>1</v>
      </c>
      <c r="F197" s="55" t="s">
        <v>13</v>
      </c>
      <c r="G197" s="5" t="str">
        <f t="shared" si="8"/>
        <v>FN1_8</v>
      </c>
      <c r="H197" s="63"/>
      <c r="I197" s="74"/>
      <c r="J197" s="74"/>
      <c r="K197" s="74"/>
      <c r="L197" s="74"/>
      <c r="M197" s="74"/>
      <c r="N197" s="74"/>
      <c r="O197" s="74"/>
      <c r="P197" s="74"/>
      <c r="Q197" s="74"/>
      <c r="R197" s="74"/>
      <c r="S197" s="74"/>
      <c r="T197" s="74"/>
      <c r="U197" s="74"/>
      <c r="V197" s="74"/>
      <c r="W197" s="74"/>
    </row>
    <row r="198" spans="1:23" s="65" customFormat="1" ht="98">
      <c r="A198" s="76" t="s">
        <v>1541</v>
      </c>
      <c r="B198" s="59" t="str">
        <f>A198&amp;". Please tell me how much you agree or disagree with the following statement on how your bank account is used: You make the final decision on how your bank account is used."</f>
        <v>FGN1. Please tell me how much you agree or disagree with the following statement on how your bank account is used: You make the final decision on how your bank account is used.</v>
      </c>
      <c r="C198" s="32" t="s">
        <v>177</v>
      </c>
      <c r="D198" s="9" t="s">
        <v>31</v>
      </c>
      <c r="E198" s="9">
        <v>2</v>
      </c>
      <c r="F198" s="77" t="s">
        <v>1529</v>
      </c>
      <c r="G198" s="5" t="str">
        <f t="shared" si="8"/>
        <v>FGN1</v>
      </c>
      <c r="H198" s="63" t="s">
        <v>1542</v>
      </c>
    </row>
    <row r="199" spans="1:23" s="65" customFormat="1" ht="32">
      <c r="A199" s="9" t="s">
        <v>1543</v>
      </c>
      <c r="B199" s="6" t="str">
        <f>A199&amp;". The next questions will be related to products and services in BPR/BPRS. Have you ever used a product or service of a "&amp;Institution!A3&amp;"?"</f>
        <v>FN2.1. The next questions will be related to products and services in BPR/BPRS. Have you ever used a product or service of a Bank Perkreditan Rakyat (BPR)?</v>
      </c>
      <c r="C199" s="32" t="s">
        <v>95</v>
      </c>
      <c r="D199" s="9" t="s">
        <v>31</v>
      </c>
      <c r="E199" s="9">
        <v>1</v>
      </c>
      <c r="F199" s="77" t="s">
        <v>13</v>
      </c>
      <c r="G199" s="9" t="str">
        <f t="shared" si="8"/>
        <v>FN2_1</v>
      </c>
      <c r="H199" s="63" t="s">
        <v>1544</v>
      </c>
    </row>
    <row r="200" spans="1:23" s="68" customFormat="1" ht="30">
      <c r="A200" s="9" t="s">
        <v>1545</v>
      </c>
      <c r="B200" s="6" t="str">
        <f>A200 &amp;". Do you have an account (current, savings, time deposit, loan account, etc.) with a "&amp;Institution!A3 &amp;"?"</f>
        <v>FN2.2. Do you have an account (current, savings, time deposit, loan account, etc.) with a Bank Perkreditan Rakyat (BPR)?</v>
      </c>
      <c r="C200" s="32" t="s">
        <v>95</v>
      </c>
      <c r="D200" s="9" t="s">
        <v>31</v>
      </c>
      <c r="E200" s="9">
        <v>1</v>
      </c>
      <c r="F200" s="55" t="s">
        <v>13</v>
      </c>
      <c r="G200" s="9" t="str">
        <f t="shared" si="8"/>
        <v>FN2_2</v>
      </c>
      <c r="H200" s="39" t="s">
        <v>1546</v>
      </c>
    </row>
    <row r="201" spans="1:23" s="79" customFormat="1" ht="98">
      <c r="A201" s="9" t="s">
        <v>1547</v>
      </c>
      <c r="B201" s="67" t="str">
        <f>A201&amp;". When was the last time you used your "&amp;Institution!A3 &amp;" account?"</f>
        <v>FN2.3. When was the last time you used your Bank Perkreditan Rakyat (BPR) account?</v>
      </c>
      <c r="C201" s="32" t="s">
        <v>1528</v>
      </c>
      <c r="D201" s="9" t="s">
        <v>31</v>
      </c>
      <c r="E201" s="9">
        <v>1</v>
      </c>
      <c r="F201" s="55" t="s">
        <v>1548</v>
      </c>
      <c r="G201" s="9" t="str">
        <f t="shared" si="8"/>
        <v>FN2_3</v>
      </c>
      <c r="H201" s="78"/>
    </row>
    <row r="202" spans="1:23" s="65" customFormat="1" ht="48">
      <c r="A202" s="9" t="s">
        <v>1549</v>
      </c>
      <c r="B202" s="80" t="str">
        <f>A202&amp;". Koperasi, ventura and lembaga keungan mikro (LKM) help their members save, invest or borrow money. Have you ever used a "&amp;Institution!A4 &amp;" ?"</f>
        <v>FN3.1. Koperasi, ventura and lembaga keungan mikro (LKM) help their members save, invest or borrow money. Have you ever used a cooperative product or service (koperasi (BMT, Credit Union, KSP), ventura or lembaga keungan mikro (LKM)) ?</v>
      </c>
      <c r="C202" s="32" t="s">
        <v>95</v>
      </c>
      <c r="D202" s="9" t="s">
        <v>31</v>
      </c>
      <c r="E202" s="9">
        <v>1</v>
      </c>
      <c r="F202" s="55" t="s">
        <v>13</v>
      </c>
      <c r="G202" s="9" t="str">
        <f t="shared" si="8"/>
        <v>FN3_1</v>
      </c>
      <c r="H202" s="63" t="s">
        <v>1550</v>
      </c>
    </row>
    <row r="203" spans="1:23" s="65" customFormat="1" ht="48">
      <c r="A203" s="9" t="s">
        <v>1551</v>
      </c>
      <c r="B203" s="81" t="str">
        <f>A203 &amp;". Do you have an account or membership registered in your name with a "&amp;Institution!A4 &amp;"?"</f>
        <v>FN3.2. Do you have an account or membership registered in your name with a cooperative product or service (koperasi (BMT, Credit Union, KSP), ventura or lembaga keungan mikro (LKM))?</v>
      </c>
      <c r="C203" s="32" t="s">
        <v>95</v>
      </c>
      <c r="D203" s="9" t="s">
        <v>31</v>
      </c>
      <c r="E203" s="9">
        <v>1</v>
      </c>
      <c r="F203" s="55" t="s">
        <v>13</v>
      </c>
      <c r="G203" s="9" t="str">
        <f t="shared" si="8"/>
        <v>FN3_2</v>
      </c>
      <c r="H203" s="63" t="s">
        <v>1552</v>
      </c>
    </row>
    <row r="204" spans="1:23" ht="98">
      <c r="A204" s="71" t="s">
        <v>1553</v>
      </c>
      <c r="B204" s="67" t="str">
        <f>A204&amp;" When was the last time you saved, invested, received money, or participated in any other financial activity with your "&amp;Institution!A4 &amp;"?"</f>
        <v>FN3.3 When was the last time you saved, invested, received money, or participated in any other financial activity with your cooperative product or service (koperasi (BMT, Credit Union, KSP), ventura or lembaga keungan mikro (LKM))?</v>
      </c>
      <c r="C204" s="32" t="s">
        <v>1528</v>
      </c>
      <c r="D204" s="9" t="s">
        <v>31</v>
      </c>
      <c r="E204" s="9">
        <v>1</v>
      </c>
      <c r="F204" s="82" t="s">
        <v>1554</v>
      </c>
      <c r="G204" s="9" t="str">
        <f>SUBSTITUTE(A204,".","_")</f>
        <v>FN3_3</v>
      </c>
      <c r="H204" s="40" t="s">
        <v>1555</v>
      </c>
      <c r="I204" s="12"/>
      <c r="J204" s="12"/>
      <c r="K204" s="12"/>
      <c r="L204" s="12"/>
      <c r="M204" s="12"/>
      <c r="N204" s="12"/>
      <c r="O204" s="12"/>
      <c r="P204" s="12"/>
      <c r="Q204" s="12"/>
      <c r="R204" s="12"/>
      <c r="S204" s="12"/>
      <c r="T204" s="12"/>
      <c r="U204" s="12"/>
      <c r="V204" s="12"/>
      <c r="W204" s="12"/>
    </row>
    <row r="205" spans="1:23" ht="42">
      <c r="A205" s="71" t="s">
        <v>1556</v>
      </c>
      <c r="B205" s="6" t="str">
        <f>A205&amp;". Does your "&amp;Institution!A4&amp;" offer the following services? "&amp;Other!J2</f>
        <v>FN3.4.1. Does your cooperative product or service (koperasi (BMT, Credit Union, KSP), ventura or lembaga keungan mikro (LKM)) offer the following services? Savings</v>
      </c>
      <c r="C205" s="60" t="s">
        <v>1557</v>
      </c>
      <c r="D205" s="9" t="s">
        <v>31</v>
      </c>
      <c r="E205" s="9">
        <v>2</v>
      </c>
      <c r="F205" s="82" t="s">
        <v>1554</v>
      </c>
      <c r="G205" s="9" t="str">
        <f t="shared" si="8"/>
        <v>FN3_4_1</v>
      </c>
      <c r="H205" s="40" t="s">
        <v>1555</v>
      </c>
      <c r="I205" s="12"/>
      <c r="J205" s="12"/>
      <c r="K205" s="12"/>
      <c r="L205" s="12"/>
      <c r="M205" s="12"/>
      <c r="N205" s="12"/>
      <c r="O205" s="12"/>
      <c r="P205" s="12"/>
      <c r="Q205" s="12"/>
      <c r="R205" s="12"/>
      <c r="S205" s="12"/>
      <c r="T205" s="12"/>
      <c r="U205" s="12"/>
      <c r="V205" s="12"/>
      <c r="W205" s="12"/>
    </row>
    <row r="206" spans="1:23" ht="120">
      <c r="A206" s="71" t="s">
        <v>1558</v>
      </c>
      <c r="B206" s="6" t="str">
        <f>A206&amp;". Does your "&amp;Institution!A4&amp;" offer the following services? "&amp;Other!J3</f>
        <v>FN3.4.2. Does your cooperative product or service (koperasi (BMT, Credit Union, KSP), ventura or lembaga keungan mikro (LKM)) offer the following services? Money transfers</v>
      </c>
      <c r="C206" s="60" t="s">
        <v>1557</v>
      </c>
      <c r="D206" s="9" t="s">
        <v>31</v>
      </c>
      <c r="E206" s="9">
        <v>2</v>
      </c>
      <c r="F206" s="82" t="s">
        <v>1554</v>
      </c>
      <c r="G206" s="9" t="str">
        <f t="shared" si="8"/>
        <v>FN3_4_2</v>
      </c>
      <c r="H206" s="40" t="s">
        <v>1559</v>
      </c>
      <c r="I206" s="12"/>
      <c r="J206" s="12"/>
      <c r="K206" s="12"/>
      <c r="L206" s="12"/>
      <c r="M206" s="12"/>
      <c r="N206" s="12"/>
      <c r="O206" s="12"/>
      <c r="P206" s="12"/>
      <c r="Q206" s="12"/>
      <c r="R206" s="12"/>
      <c r="S206" s="12"/>
      <c r="T206" s="12"/>
      <c r="U206" s="12"/>
      <c r="V206" s="12"/>
      <c r="W206" s="12"/>
    </row>
    <row r="207" spans="1:23" ht="42">
      <c r="A207" s="71" t="s">
        <v>1560</v>
      </c>
      <c r="B207" s="6" t="str">
        <f>A207&amp;". Does your "&amp;Institution!A4&amp;" offer the following services? "&amp;Other!J4</f>
        <v>FN3.4.3. Does your cooperative product or service (koperasi (BMT, Credit Union, KSP), ventura or lembaga keungan mikro (LKM)) offer the following services? Insurance</v>
      </c>
      <c r="C207" s="60" t="s">
        <v>1557</v>
      </c>
      <c r="D207" s="9" t="s">
        <v>31</v>
      </c>
      <c r="E207" s="9">
        <v>2</v>
      </c>
      <c r="F207" s="82" t="s">
        <v>1554</v>
      </c>
      <c r="G207" s="9" t="str">
        <f t="shared" si="8"/>
        <v>FN3_4_3</v>
      </c>
      <c r="H207" s="40" t="s">
        <v>1555</v>
      </c>
      <c r="I207" s="12"/>
      <c r="J207" s="12"/>
      <c r="K207" s="12"/>
      <c r="L207" s="12"/>
      <c r="M207" s="12"/>
      <c r="N207" s="12"/>
      <c r="O207" s="12"/>
      <c r="P207" s="12"/>
      <c r="Q207" s="12"/>
      <c r="R207" s="12"/>
      <c r="S207" s="12"/>
      <c r="T207" s="12"/>
      <c r="U207" s="12"/>
      <c r="V207" s="12"/>
      <c r="W207" s="12"/>
    </row>
    <row r="208" spans="1:23" ht="42">
      <c r="A208" s="71" t="s">
        <v>1561</v>
      </c>
      <c r="B208" s="6" t="str">
        <f>A208&amp;". Does your "&amp;Institution!A4&amp;" offer the following services? "&amp;Other!J5</f>
        <v>FN3.4.4. Does your cooperative product or service (koperasi (BMT, Credit Union, KSP), ventura or lembaga keungan mikro (LKM)) offer the following services? Investments</v>
      </c>
      <c r="C208" s="60" t="s">
        <v>1557</v>
      </c>
      <c r="D208" s="9" t="s">
        <v>31</v>
      </c>
      <c r="E208" s="9">
        <v>2</v>
      </c>
      <c r="F208" s="82" t="s">
        <v>1554</v>
      </c>
      <c r="G208" s="9" t="str">
        <f t="shared" si="8"/>
        <v>FN3_4_4</v>
      </c>
      <c r="H208" s="40" t="s">
        <v>1555</v>
      </c>
      <c r="I208" s="12"/>
      <c r="J208" s="12"/>
      <c r="K208" s="12"/>
      <c r="L208" s="12"/>
      <c r="M208" s="12"/>
      <c r="N208" s="12"/>
      <c r="O208" s="12"/>
      <c r="P208" s="12"/>
      <c r="Q208" s="12"/>
      <c r="R208" s="12"/>
      <c r="S208" s="12"/>
      <c r="T208" s="12"/>
      <c r="U208" s="12"/>
      <c r="V208" s="12"/>
      <c r="W208" s="12"/>
    </row>
    <row r="209" spans="1:23" s="1" customFormat="1" ht="42">
      <c r="A209" s="71" t="s">
        <v>1562</v>
      </c>
      <c r="B209" s="6" t="str">
        <f>A209&amp;". Does your "&amp;Institution!A4&amp;" offer the following services? "&amp;Other!J6</f>
        <v>FN3.4.5. Does your cooperative product or service (koperasi (BMT, Credit Union, KSP), ventura or lembaga keungan mikro (LKM)) offer the following services? A mobile phone application or website</v>
      </c>
      <c r="C209" s="60" t="s">
        <v>1557</v>
      </c>
      <c r="D209" s="9" t="s">
        <v>31</v>
      </c>
      <c r="E209" s="9">
        <v>2</v>
      </c>
      <c r="F209" s="82" t="s">
        <v>1554</v>
      </c>
      <c r="G209" s="9" t="str">
        <f t="shared" si="8"/>
        <v>FN3_4_5</v>
      </c>
      <c r="H209" s="40" t="s">
        <v>1555</v>
      </c>
    </row>
    <row r="210" spans="1:23" s="1" customFormat="1" ht="60">
      <c r="A210" s="71" t="s">
        <v>1563</v>
      </c>
      <c r="B210" s="6" t="str">
        <f>A210&amp;". Does your "&amp;Institution!A4&amp;" offer the following services? "&amp;Other!J7</f>
        <v>FN3.4.6. Does your cooperative product or service (koperasi (BMT, Credit Union, KSP), ventura or lembaga keungan mikro (LKM)) offer the following services? an EDC you can use to get cash from a machine</v>
      </c>
      <c r="C210" s="6" t="s">
        <v>575</v>
      </c>
      <c r="D210" s="5" t="s">
        <v>31</v>
      </c>
      <c r="E210" s="5">
        <v>2</v>
      </c>
      <c r="F210" s="82" t="s">
        <v>1554</v>
      </c>
      <c r="G210" s="83" t="str">
        <f t="shared" si="8"/>
        <v>FN3_4_6</v>
      </c>
      <c r="H210" s="40" t="s">
        <v>1564</v>
      </c>
    </row>
    <row r="211" spans="1:23" ht="75">
      <c r="A211" s="84" t="s">
        <v>1565</v>
      </c>
      <c r="B211" s="85" t="str">
        <f>A211&amp;". Does your "&amp;Institution!A4&amp;" offer the following services? "&amp;Other!J8</f>
        <v>FN3.4.7. Does your cooperative product or service (koperasi (BMT, Credit Union, KSP), ventura or lembaga keungan mikro (LKM)) offer the following services? A credit card that you can use to buy something now and pay later</v>
      </c>
      <c r="C211" s="85" t="s">
        <v>575</v>
      </c>
      <c r="D211" s="86" t="s">
        <v>31</v>
      </c>
      <c r="E211" s="86">
        <v>2</v>
      </c>
      <c r="F211" s="87" t="s">
        <v>1554</v>
      </c>
      <c r="G211" s="88" t="str">
        <f t="shared" si="8"/>
        <v>FN3_4_7</v>
      </c>
      <c r="H211" s="40" t="s">
        <v>1566</v>
      </c>
      <c r="I211" s="12"/>
      <c r="J211" s="12"/>
      <c r="K211" s="12"/>
      <c r="L211" s="12"/>
      <c r="M211" s="12"/>
      <c r="N211" s="12"/>
      <c r="O211" s="12"/>
      <c r="P211" s="12"/>
      <c r="Q211" s="12"/>
      <c r="R211" s="12"/>
      <c r="S211" s="12"/>
      <c r="T211" s="12"/>
      <c r="U211" s="12"/>
      <c r="V211" s="12"/>
      <c r="W211" s="12"/>
    </row>
    <row r="212" spans="1:23" s="65" customFormat="1" ht="42">
      <c r="A212" s="71" t="s">
        <v>1567</v>
      </c>
      <c r="B212" s="6" t="str">
        <f>A212&amp;". Does your "&amp;Institution!A4&amp;" offer the following services? "&amp;Other!J9</f>
        <v>FN3.4.8. Does your cooperative product or service (koperasi (BMT, Credit Union, KSP), ventura or lembaga keungan mikro (LKM)) offer the following services? Money transfers to and from the account without using cash (e.g., receive salary or government benefits, direct deposit, automatic payments or withdrawals, transfers to or from another account) </v>
      </c>
      <c r="C212" s="60" t="s">
        <v>1557</v>
      </c>
      <c r="D212" s="9" t="s">
        <v>31</v>
      </c>
      <c r="E212" s="9">
        <v>2</v>
      </c>
      <c r="F212" s="82" t="s">
        <v>1554</v>
      </c>
      <c r="G212" s="9" t="str">
        <f t="shared" si="8"/>
        <v>FN3_4_8</v>
      </c>
      <c r="H212" s="40" t="s">
        <v>1555</v>
      </c>
    </row>
    <row r="213" spans="1:23" s="65" customFormat="1" ht="28">
      <c r="A213" s="9" t="s">
        <v>1568</v>
      </c>
      <c r="B213" s="67" t="str">
        <f>A213&amp;" Have you ever used products and services of a syariah cooperative, "&amp;Institution!A5&amp;" or Koperasi Jasa Keuangan Syariah (KJKS)?"</f>
        <v>FN4.1 Have you ever used products and services of a syariah cooperative, Baitul Maal wat Tamwil (BMT) or Koperasi Jasa Keuangan Syariah (KJKS)?</v>
      </c>
      <c r="C213" s="60" t="s">
        <v>125</v>
      </c>
      <c r="D213" s="83" t="s">
        <v>31</v>
      </c>
      <c r="E213" s="83">
        <v>1</v>
      </c>
      <c r="F213" s="77" t="s">
        <v>13</v>
      </c>
      <c r="G213" s="83" t="str">
        <f t="shared" si="8"/>
        <v>FN4_1</v>
      </c>
      <c r="H213" s="89" t="s">
        <v>1569</v>
      </c>
    </row>
    <row r="214" spans="1:23" s="65" customFormat="1" ht="28">
      <c r="A214" s="9" t="s">
        <v>1570</v>
      </c>
      <c r="B214" s="67" t="str">
        <f>A214&amp;" Do you have an account registered in your name with a "&amp;Institution!A5&amp;" or Koperasi Jasa Keuangan Syariah (KJKS)?"</f>
        <v>FN4.2 Do you have an account registered in your name with a Baitul Maal wat Tamwil (BMT) or Koperasi Jasa Keuangan Syariah (KJKS)?</v>
      </c>
      <c r="C214" s="60" t="s">
        <v>125</v>
      </c>
      <c r="D214" s="83" t="s">
        <v>31</v>
      </c>
      <c r="E214" s="83">
        <v>1</v>
      </c>
      <c r="F214" s="77" t="s">
        <v>13</v>
      </c>
      <c r="G214" s="83" t="str">
        <f t="shared" si="8"/>
        <v>FN4_2</v>
      </c>
      <c r="H214" s="89" t="s">
        <v>1569</v>
      </c>
    </row>
    <row r="215" spans="1:23" s="79" customFormat="1" ht="98">
      <c r="A215" s="9" t="s">
        <v>1571</v>
      </c>
      <c r="B215" s="67" t="str">
        <f>A215&amp;" When was the last time you used your account with the "&amp;Institution!A5&amp;" or Koperasi Jasa Keuangan Syariah (KJKS)?"</f>
        <v>FN4.3 When was the last time you used your account with the Baitul Maal wat Tamwil (BMT) or Koperasi Jasa Keuangan Syariah (KJKS)?</v>
      </c>
      <c r="C215" s="32" t="s">
        <v>1528</v>
      </c>
      <c r="D215" s="83" t="s">
        <v>31</v>
      </c>
      <c r="E215" s="83">
        <v>1</v>
      </c>
      <c r="F215" s="77" t="s">
        <v>1572</v>
      </c>
      <c r="G215" s="83" t="str">
        <f t="shared" si="8"/>
        <v>FN4_3</v>
      </c>
      <c r="H215" s="78" t="s">
        <v>1573</v>
      </c>
    </row>
    <row r="216" spans="1:23" s="65" customFormat="1" ht="28">
      <c r="A216" s="5" t="s">
        <v>1574</v>
      </c>
      <c r="B216" s="6" t="str">
        <f>A216&amp;". Have you ever used financial services provided by "&amp;Institution!A6 &amp;" (e.g. GiroPOS, WeselPOS, Fund Distribution (government program, Pension), Bank Channeling (BTN or BNI)?"</f>
        <v>FN5.1. Have you ever used financial services provided by Pos Indonesia (e.g. GiroPOS, WeselPOS, Fund Distribution (government program, Pension), Bank Channeling (BTN or BNI)?</v>
      </c>
      <c r="C216" s="32" t="s">
        <v>95</v>
      </c>
      <c r="D216" s="9" t="s">
        <v>31</v>
      </c>
      <c r="E216" s="9">
        <v>1</v>
      </c>
      <c r="F216" s="55" t="s">
        <v>13</v>
      </c>
      <c r="G216" s="5" t="str">
        <f t="shared" si="8"/>
        <v>FN5_1</v>
      </c>
      <c r="H216" s="63" t="s">
        <v>1575</v>
      </c>
    </row>
    <row r="217" spans="1:23" s="68" customFormat="1" ht="28">
      <c r="A217" s="9" t="s">
        <v>1576</v>
      </c>
      <c r="B217" s="6" t="str">
        <f>A217 &amp;". Do you have a "&amp;Institution!A6 &amp;" account that is registered in your name or jointly in your name and someone else's name (e.g. GiroPOS, WeselPOS, Fund Distribution (government program, Pension), Bank Channeling (BTN or BNI)?"</f>
        <v>FN5.2. Do you have a Pos Indonesia account that is registered in your name or jointly in your name and someone else's name (e.g. GiroPOS, WeselPOS, Fund Distribution (government program, Pension), Bank Channeling (BTN or BNI)?</v>
      </c>
      <c r="C217" s="32" t="s">
        <v>95</v>
      </c>
      <c r="D217" s="9" t="s">
        <v>31</v>
      </c>
      <c r="E217" s="9">
        <v>1</v>
      </c>
      <c r="F217" s="55" t="s">
        <v>13</v>
      </c>
      <c r="G217" s="5" t="str">
        <f t="shared" si="8"/>
        <v>FN5_2</v>
      </c>
      <c r="H217" s="39"/>
    </row>
    <row r="218" spans="1:23" s="79" customFormat="1" ht="98">
      <c r="A218" s="9" t="s">
        <v>1577</v>
      </c>
      <c r="B218" s="67" t="str">
        <f>A218&amp;" When was the last time you used your "&amp;Institution!A6 &amp;" account (e.g. GiroPOS, WeselPOS, Pension, Bank BTN)?"</f>
        <v>FN5.3 When was the last time you used your Pos Indonesia account (e.g. GiroPOS, WeselPOS, Pension, Bank BTN)?</v>
      </c>
      <c r="C218" s="32" t="s">
        <v>1528</v>
      </c>
      <c r="D218" s="9" t="s">
        <v>31</v>
      </c>
      <c r="E218" s="9">
        <v>1</v>
      </c>
      <c r="F218" s="55" t="s">
        <v>1578</v>
      </c>
      <c r="G218" s="5" t="str">
        <f t="shared" si="8"/>
        <v>FN5_3</v>
      </c>
      <c r="H218" s="78"/>
      <c r="I218" s="90"/>
      <c r="J218" s="90"/>
      <c r="K218" s="90"/>
      <c r="L218" s="90"/>
      <c r="M218" s="90"/>
      <c r="N218" s="90"/>
      <c r="O218" s="90"/>
      <c r="P218" s="90"/>
      <c r="Q218" s="90"/>
      <c r="R218" s="90"/>
      <c r="S218" s="90"/>
      <c r="T218" s="90"/>
      <c r="U218" s="90"/>
      <c r="V218" s="90"/>
      <c r="W218" s="90"/>
    </row>
    <row r="219" spans="1:23" s="79" customFormat="1" ht="192">
      <c r="A219" s="9" t="s">
        <v>1579</v>
      </c>
      <c r="B219" s="32" t="str">
        <f>A219&amp;". Have you ever used an electronic money ("&amp;Institution!A7&amp;") card such as Flazz, Mandiri e-money/e-toll, Mega Cash, BRizzi, Tap Cash, or another e-money product?"</f>
        <v>FN6.1. Have you ever used an electronic money (e-money) card such as Flazz, Mandiri e-money/e-toll, Mega Cash, BRizzi, Tap Cash, or another e-money product?</v>
      </c>
      <c r="C219" s="32" t="s">
        <v>95</v>
      </c>
      <c r="D219" s="83" t="s">
        <v>31</v>
      </c>
      <c r="E219" s="83">
        <v>1</v>
      </c>
      <c r="F219" s="77" t="s">
        <v>13</v>
      </c>
      <c r="G219" s="83" t="str">
        <f t="shared" si="8"/>
        <v>FN6_1</v>
      </c>
      <c r="H219" s="78" t="s">
        <v>1580</v>
      </c>
      <c r="I219" s="90"/>
      <c r="J219" s="90"/>
      <c r="K219" s="90"/>
      <c r="L219" s="90"/>
      <c r="M219" s="90"/>
      <c r="N219" s="90"/>
      <c r="O219" s="90"/>
      <c r="P219" s="90"/>
      <c r="Q219" s="90"/>
      <c r="R219" s="90"/>
      <c r="S219" s="90"/>
      <c r="T219" s="90"/>
      <c r="U219" s="90"/>
      <c r="V219" s="90"/>
      <c r="W219" s="90"/>
    </row>
    <row r="220" spans="1:23" s="79" customFormat="1" ht="48">
      <c r="A220" s="9" t="s">
        <v>1581</v>
      </c>
      <c r="B220" s="32" t="str">
        <f>A220&amp;". Do you have an account with an "&amp;Institution!A7&amp;" product that was registered using your ID?"</f>
        <v>FN6.2. Do you have an account with an e-money product that was registered using your ID?</v>
      </c>
      <c r="C220" s="32" t="s">
        <v>95</v>
      </c>
      <c r="D220" s="83" t="s">
        <v>31</v>
      </c>
      <c r="E220" s="83">
        <v>1</v>
      </c>
      <c r="F220" s="73" t="s">
        <v>1582</v>
      </c>
      <c r="G220" s="83" t="str">
        <f t="shared" si="8"/>
        <v>FN6_2</v>
      </c>
      <c r="H220" s="78" t="s">
        <v>1583</v>
      </c>
      <c r="I220" s="90"/>
      <c r="J220" s="90"/>
      <c r="K220" s="90"/>
      <c r="L220" s="90"/>
      <c r="M220" s="90"/>
      <c r="N220" s="90"/>
      <c r="O220" s="90"/>
      <c r="P220" s="90"/>
      <c r="Q220" s="90"/>
      <c r="R220" s="90"/>
      <c r="S220" s="90"/>
      <c r="T220" s="90"/>
      <c r="U220" s="90"/>
      <c r="V220" s="90"/>
      <c r="W220" s="90"/>
    </row>
    <row r="221" spans="1:23" s="68" customFormat="1" ht="98">
      <c r="A221" s="9" t="s">
        <v>1584</v>
      </c>
      <c r="B221" s="32" t="str">
        <f>A221&amp;". When was the last time you used an "&amp;Institution!A7&amp;" product registered in your name?"</f>
        <v>FN6.3. When was the last time you used an e-money product registered in your name?</v>
      </c>
      <c r="C221" s="32" t="s">
        <v>1528</v>
      </c>
      <c r="D221" s="83" t="s">
        <v>31</v>
      </c>
      <c r="E221" s="83">
        <v>1</v>
      </c>
      <c r="F221" s="77" t="s">
        <v>1585</v>
      </c>
      <c r="G221" s="83" t="str">
        <f t="shared" si="8"/>
        <v>FN6_3</v>
      </c>
      <c r="H221" s="39"/>
    </row>
    <row r="222" spans="1:23" ht="28">
      <c r="A222" s="13" t="s">
        <v>1586</v>
      </c>
      <c r="B222" s="67" t="str">
        <f>A222&amp;". A "&amp;Institution!A8&amp;" allows a mobile phone to be used to send and receive money, make payments or other financial activities without the need for a bank account. Did you know about mobile money before now?"</f>
        <v>MM0. A mobile money service allows a mobile phone to be used to send and receive money, make payments or other financial activities without the need for a bank account. Did you know about mobile money before now?</v>
      </c>
      <c r="C222" s="32" t="s">
        <v>1587</v>
      </c>
      <c r="D222" s="9" t="s">
        <v>31</v>
      </c>
      <c r="E222" s="9">
        <v>1</v>
      </c>
      <c r="F222" s="55" t="s">
        <v>13</v>
      </c>
      <c r="G222" s="5" t="str">
        <f t="shared" si="8"/>
        <v>MM0</v>
      </c>
    </row>
    <row r="223" spans="1:23" ht="28">
      <c r="A223" s="9" t="s">
        <v>1588</v>
      </c>
      <c r="B223" s="6" t="str">
        <f>A223&amp;". Have you ever heard about the following mobile money service providers? "&amp; 'brand name'!B2</f>
        <v>MM1.1. Have you ever heard about the following mobile money service providers? PayPro/Dompetku (Indosat)</v>
      </c>
      <c r="C223" s="32" t="s">
        <v>1587</v>
      </c>
      <c r="D223" s="91" t="s">
        <v>31</v>
      </c>
      <c r="E223" s="91">
        <v>1</v>
      </c>
      <c r="F223" s="55" t="s">
        <v>13</v>
      </c>
      <c r="G223" s="5" t="str">
        <f t="shared" si="8"/>
        <v>MM1_1</v>
      </c>
    </row>
    <row r="224" spans="1:23" ht="28">
      <c r="A224" s="9" t="s">
        <v>1589</v>
      </c>
      <c r="B224" s="6" t="str">
        <f>A224&amp;". Have you ever heard about the following mobile money service providers? "&amp; 'brand name'!B3</f>
        <v>MM1.2. Have you ever heard about the following mobile money service providers? E-Cash (Bank Mandiri)</v>
      </c>
      <c r="C224" s="32" t="s">
        <v>1587</v>
      </c>
      <c r="D224" s="91" t="s">
        <v>31</v>
      </c>
      <c r="E224" s="91">
        <v>1</v>
      </c>
      <c r="F224" s="55" t="s">
        <v>13</v>
      </c>
      <c r="G224" s="5" t="str">
        <f t="shared" si="8"/>
        <v>MM1_2</v>
      </c>
    </row>
    <row r="225" spans="1:8" ht="28">
      <c r="A225" s="9" t="s">
        <v>1590</v>
      </c>
      <c r="B225" s="6" t="str">
        <f>A225&amp;". Have you ever heard about the following mobile money service providers? "&amp; 'brand name'!B4</f>
        <v>MM1.3. Have you ever heard about the following mobile money service providers? Rekening Ponsel (CIMB Niaga)</v>
      </c>
      <c r="C225" s="32" t="s">
        <v>1587</v>
      </c>
      <c r="D225" s="91" t="s">
        <v>31</v>
      </c>
      <c r="E225" s="91">
        <v>1</v>
      </c>
      <c r="F225" s="55" t="s">
        <v>13</v>
      </c>
      <c r="G225" s="5" t="str">
        <f t="shared" si="8"/>
        <v>MM1_3</v>
      </c>
    </row>
    <row r="226" spans="1:8" ht="28">
      <c r="A226" s="9" t="s">
        <v>1591</v>
      </c>
      <c r="B226" s="6" t="str">
        <f>A226&amp;". Have you ever heard about the following mobile money service providers? "&amp; 'brand name'!B5</f>
        <v>MM1.4. Have you ever heard about the following mobile money service providers? T-Cash (Telkomsel)</v>
      </c>
      <c r="C226" s="32" t="s">
        <v>1587</v>
      </c>
      <c r="D226" s="91" t="s">
        <v>31</v>
      </c>
      <c r="E226" s="91">
        <v>1</v>
      </c>
      <c r="F226" s="55" t="s">
        <v>13</v>
      </c>
      <c r="G226" s="5" t="str">
        <f t="shared" si="8"/>
        <v>MM1_4</v>
      </c>
    </row>
    <row r="227" spans="1:8" ht="28">
      <c r="A227" s="9" t="s">
        <v>1592</v>
      </c>
      <c r="B227" s="6" t="str">
        <f>A227&amp;". Have you ever heard about the following mobile money service providers? "&amp; 'brand name'!B6</f>
        <v>MM1.5. Have you ever heard about the following mobile money service providers? XL Tunai (XL Axiata)</v>
      </c>
      <c r="C227" s="32" t="s">
        <v>1587</v>
      </c>
      <c r="D227" s="91" t="s">
        <v>31</v>
      </c>
      <c r="E227" s="91">
        <v>1</v>
      </c>
      <c r="F227" s="55" t="s">
        <v>13</v>
      </c>
      <c r="G227" s="5" t="str">
        <f t="shared" si="8"/>
        <v>MM1_5</v>
      </c>
    </row>
    <row r="228" spans="1:8" ht="28">
      <c r="A228" s="9" t="s">
        <v>1593</v>
      </c>
      <c r="B228" s="6" t="str">
        <f>A228&amp;". Have you ever heard about the following mobile money service providers? "&amp; 'brand name'!B7</f>
        <v>MM1.6. Have you ever heard about the following mobile money service providers? OVO</v>
      </c>
      <c r="C228" s="92" t="s">
        <v>1587</v>
      </c>
      <c r="D228" s="93" t="s">
        <v>31</v>
      </c>
      <c r="E228" s="93">
        <v>1</v>
      </c>
      <c r="F228" s="94" t="s">
        <v>13</v>
      </c>
      <c r="G228" s="95" t="str">
        <f t="shared" si="8"/>
        <v>MM1_6</v>
      </c>
    </row>
    <row r="229" spans="1:8" ht="28">
      <c r="A229" s="9" t="s">
        <v>1594</v>
      </c>
      <c r="B229" s="6" t="str">
        <f>A229&amp;". Have you ever heard about the following mobile money service providers? "&amp; 'brand name'!B8</f>
        <v>MM1.7. Have you ever heard about the following mobile money service providers? Go-Pay</v>
      </c>
      <c r="C229" s="92" t="s">
        <v>1587</v>
      </c>
      <c r="D229" s="93" t="s">
        <v>31</v>
      </c>
      <c r="E229" s="93">
        <v>1</v>
      </c>
      <c r="F229" s="94" t="s">
        <v>13</v>
      </c>
      <c r="G229" s="95" t="str">
        <f t="shared" si="8"/>
        <v>MM1_7</v>
      </c>
    </row>
    <row r="230" spans="1:8" ht="28">
      <c r="A230" s="9" t="s">
        <v>1595</v>
      </c>
      <c r="B230" s="6" t="str">
        <f>A230&amp;". Have you ever heard about the following mobile money service providers? "&amp; 'brand name'!B9</f>
        <v>MM1.8. Have you ever heard about the following mobile money service providers? Sakuku BCA</v>
      </c>
      <c r="C230" s="92" t="s">
        <v>1587</v>
      </c>
      <c r="D230" s="93" t="s">
        <v>31</v>
      </c>
      <c r="E230" s="93">
        <v>1</v>
      </c>
      <c r="F230" s="94" t="s">
        <v>13</v>
      </c>
      <c r="G230" s="95" t="str">
        <f t="shared" si="8"/>
        <v>MM1_8</v>
      </c>
      <c r="H230" s="40" t="s">
        <v>1596</v>
      </c>
    </row>
    <row r="231" spans="1:8" ht="28">
      <c r="A231" s="9" t="s">
        <v>1597</v>
      </c>
      <c r="B231" s="6" t="str">
        <f>A231&amp;". Have you ever heard about the following mobile money service providers? "&amp; 'brand name'!B10</f>
        <v>MM1.9. Have you ever heard about the following mobile money service providers? T-Bank BRI</v>
      </c>
      <c r="C231" s="92" t="s">
        <v>1587</v>
      </c>
      <c r="D231" s="93" t="s">
        <v>31</v>
      </c>
      <c r="E231" s="93">
        <v>1</v>
      </c>
      <c r="F231" s="94" t="s">
        <v>13</v>
      </c>
      <c r="G231" s="95" t="str">
        <f t="shared" si="8"/>
        <v>MM1_9</v>
      </c>
      <c r="H231" s="40" t="s">
        <v>1596</v>
      </c>
    </row>
    <row r="232" spans="1:8" s="65" customFormat="1" ht="28">
      <c r="A232" s="96" t="s">
        <v>1598</v>
      </c>
      <c r="B232" s="6" t="str">
        <f>A232&amp;". Have you ever heard about the following mobile money service providers? "&amp; 'brand name'!B11</f>
        <v>MM1.96. Have you ever heard about the following mobile money service providers? Another mobile money service that I didn't mention</v>
      </c>
      <c r="C232" s="32" t="s">
        <v>1587</v>
      </c>
      <c r="D232" s="91" t="s">
        <v>31</v>
      </c>
      <c r="E232" s="91">
        <v>1</v>
      </c>
      <c r="F232" s="55" t="s">
        <v>13</v>
      </c>
      <c r="G232" s="5" t="str">
        <f t="shared" si="8"/>
        <v>MM1_96</v>
      </c>
      <c r="H232" s="63"/>
    </row>
    <row r="233" spans="1:8" s="65" customFormat="1" ht="70">
      <c r="A233" s="9" t="s">
        <v>1599</v>
      </c>
      <c r="B233" s="46" t="str">
        <f>A233&amp;". Have you ever used a "&amp;Institution!A8&amp;"?"</f>
        <v>FN7.1. Have you ever used a mobile money service?</v>
      </c>
      <c r="C233" s="32" t="s">
        <v>95</v>
      </c>
      <c r="D233" s="9" t="s">
        <v>31</v>
      </c>
      <c r="E233" s="9">
        <v>1</v>
      </c>
      <c r="F233" s="94" t="s">
        <v>1600</v>
      </c>
      <c r="G233" s="5" t="str">
        <f t="shared" si="8"/>
        <v>FN7_1</v>
      </c>
      <c r="H233" s="63"/>
    </row>
    <row r="234" spans="1:8" s="65" customFormat="1" ht="70">
      <c r="A234" s="9" t="s">
        <v>1601</v>
      </c>
      <c r="B234" s="72" t="str">
        <f>A234 &amp;". Do you have an account with a "&amp;[1]Institution!A8 &amp;"?"</f>
        <v>FN7.2. Do you have an account with a mobile money service?</v>
      </c>
      <c r="C234" s="32" t="s">
        <v>95</v>
      </c>
      <c r="D234" s="9" t="s">
        <v>31</v>
      </c>
      <c r="E234" s="9">
        <v>1</v>
      </c>
      <c r="F234" s="94" t="s">
        <v>1600</v>
      </c>
      <c r="G234" s="5" t="str">
        <f t="shared" si="8"/>
        <v>FN7_2</v>
      </c>
      <c r="H234" s="63"/>
    </row>
    <row r="235" spans="1:8" s="68" customFormat="1" ht="28">
      <c r="A235" s="97" t="s">
        <v>1602</v>
      </c>
      <c r="B235" s="72" t="str">
        <f>A235 &amp;". Do you have an account with a "&amp;[1]Institution!A8 &amp;" that was registered using your ID?"</f>
        <v>FN7.2.1. Do you have an account with a mobile money service that was registered using your ID?</v>
      </c>
      <c r="C235" s="70" t="s">
        <v>95</v>
      </c>
      <c r="D235" s="97" t="s">
        <v>31</v>
      </c>
      <c r="E235" s="71">
        <v>1</v>
      </c>
      <c r="F235" s="94" t="s">
        <v>1603</v>
      </c>
      <c r="G235" s="98" t="str">
        <f t="shared" si="8"/>
        <v>FN7_2_1</v>
      </c>
      <c r="H235" s="63"/>
    </row>
    <row r="236" spans="1:8" s="68" customFormat="1" ht="98">
      <c r="A236" s="9" t="s">
        <v>1604</v>
      </c>
      <c r="B236" s="67" t="str">
        <f>A236&amp;" When was the last time you used your account with a "&amp;Institution!A8 &amp;"?"</f>
        <v>FN7.3 When was the last time you used your account with a mobile money service?</v>
      </c>
      <c r="C236" s="32" t="s">
        <v>1528</v>
      </c>
      <c r="D236" s="9" t="s">
        <v>31</v>
      </c>
      <c r="E236" s="9">
        <v>1</v>
      </c>
      <c r="F236" s="77" t="s">
        <v>1603</v>
      </c>
      <c r="G236" s="5" t="str">
        <f t="shared" si="8"/>
        <v>FN7_3</v>
      </c>
      <c r="H236" s="39"/>
    </row>
    <row r="237" spans="1:8" s="68" customFormat="1" ht="105">
      <c r="A237" s="13" t="s">
        <v>1605</v>
      </c>
      <c r="B237" s="99" t="str">
        <f>A237&amp;". There are individual agents at warung, Indomart, Alphamart and other places who use electronic data capture machines, mobile phones or other devices to provide "&amp;Institution!A9&amp;". Did you know about these agents before now?"</f>
        <v>BA0. There are individual agents at warung, Indomart, Alphamart and other places who use electronic data capture machines, mobile phones or other devices to provide digital financial services (LKD) and/or Laku Pandai. Did you know about these agents before now?</v>
      </c>
      <c r="C237" s="32" t="s">
        <v>1587</v>
      </c>
      <c r="D237" s="83" t="s">
        <v>31</v>
      </c>
      <c r="E237" s="83">
        <v>1</v>
      </c>
      <c r="F237" s="55" t="s">
        <v>13</v>
      </c>
      <c r="G237" s="5" t="str">
        <f t="shared" si="8"/>
        <v>BA0</v>
      </c>
      <c r="H237" s="39" t="s">
        <v>1606</v>
      </c>
    </row>
    <row r="238" spans="1:8" s="68" customFormat="1" ht="28">
      <c r="A238" s="13" t="s">
        <v>1607</v>
      </c>
      <c r="B238" s="67" t="str">
        <f>A238&amp;". Have you ever heard about the following agent services? "&amp; 'brand name'!C2</f>
        <v>BA1.1. Have you ever heard about the following agent services? Agen BRILink (TabunganKU BSA)</v>
      </c>
      <c r="C238" s="32" t="s">
        <v>1587</v>
      </c>
      <c r="D238" s="83" t="s">
        <v>31</v>
      </c>
      <c r="E238" s="83">
        <v>1</v>
      </c>
      <c r="F238" s="55" t="s">
        <v>13</v>
      </c>
      <c r="G238" s="5" t="str">
        <f t="shared" si="8"/>
        <v>BA1_1</v>
      </c>
      <c r="H238" s="39"/>
    </row>
    <row r="239" spans="1:8" s="68" customFormat="1" ht="28">
      <c r="A239" s="13" t="s">
        <v>1608</v>
      </c>
      <c r="B239" s="67" t="str">
        <f>A239&amp;". Have you ever heard about the following agent services? "&amp; 'brand name'!C3</f>
        <v>BA1.2. Have you ever heard about the following agent services? Agen Griya Bayar Bank BTN</v>
      </c>
      <c r="C239" s="32" t="s">
        <v>1587</v>
      </c>
      <c r="D239" s="83" t="s">
        <v>31</v>
      </c>
      <c r="E239" s="83">
        <v>1</v>
      </c>
      <c r="F239" s="55" t="s">
        <v>13</v>
      </c>
      <c r="G239" s="5" t="str">
        <f t="shared" si="8"/>
        <v>BA1_2</v>
      </c>
      <c r="H239" s="39"/>
    </row>
    <row r="240" spans="1:8" s="68" customFormat="1" ht="28">
      <c r="A240" s="13" t="s">
        <v>1609</v>
      </c>
      <c r="B240" s="67" t="str">
        <f>A240&amp;". Have you ever heard about the following agent services? "&amp; 'brand name'!C4</f>
        <v>BA1.3. Have you ever heard about the following agent services? AGEN46 (BNI Pandai)</v>
      </c>
      <c r="C240" s="32" t="s">
        <v>1587</v>
      </c>
      <c r="D240" s="83" t="s">
        <v>31</v>
      </c>
      <c r="E240" s="83">
        <v>1</v>
      </c>
      <c r="F240" s="55" t="s">
        <v>13</v>
      </c>
      <c r="G240" s="5" t="str">
        <f t="shared" si="8"/>
        <v>BA1_3</v>
      </c>
      <c r="H240" s="39"/>
    </row>
    <row r="241" spans="1:23" s="68" customFormat="1" ht="28">
      <c r="A241" s="100" t="s">
        <v>1610</v>
      </c>
      <c r="B241" s="101" t="str">
        <f>A241&amp;". Have you ever heard about the following agent services? "&amp; 'brand name'!C5</f>
        <v>BA1.4. Have you ever heard about the following agent services? True Money</v>
      </c>
      <c r="C241" s="102" t="s">
        <v>1587</v>
      </c>
      <c r="D241" s="88" t="s">
        <v>31</v>
      </c>
      <c r="E241" s="88">
        <v>1</v>
      </c>
      <c r="F241" s="103" t="s">
        <v>13</v>
      </c>
      <c r="G241" s="86" t="str">
        <f t="shared" si="8"/>
        <v>BA1_4</v>
      </c>
      <c r="H241" s="39" t="s">
        <v>1611</v>
      </c>
    </row>
    <row r="242" spans="1:23" s="68" customFormat="1" ht="28">
      <c r="A242" s="13" t="s">
        <v>1612</v>
      </c>
      <c r="B242" s="67" t="str">
        <f>A242&amp;". Have you ever heard about the following agent services? "&amp; 'brand name'!C6</f>
        <v>BA1.5. Have you ever heard about the following agent services? BTPN  WOW</v>
      </c>
      <c r="C242" s="32" t="s">
        <v>1587</v>
      </c>
      <c r="D242" s="83" t="s">
        <v>31</v>
      </c>
      <c r="E242" s="83">
        <v>1</v>
      </c>
      <c r="F242" s="55" t="s">
        <v>13</v>
      </c>
      <c r="G242" s="5" t="str">
        <f t="shared" si="8"/>
        <v>BA1_5</v>
      </c>
      <c r="H242" s="39"/>
    </row>
    <row r="243" spans="1:23" s="68" customFormat="1" ht="28">
      <c r="A243" s="13" t="s">
        <v>1613</v>
      </c>
      <c r="B243" s="67" t="str">
        <f>A243&amp;". Have you ever heard about the following agent services? "&amp; 'brand name'!C7</f>
        <v>BA1.6. Have you ever heard about the following agent services? Mandiri Simakmur (AgenMU)</v>
      </c>
      <c r="C243" s="32" t="s">
        <v>1587</v>
      </c>
      <c r="D243" s="83" t="s">
        <v>31</v>
      </c>
      <c r="E243" s="83">
        <v>1</v>
      </c>
      <c r="F243" s="55" t="s">
        <v>13</v>
      </c>
      <c r="G243" s="5" t="str">
        <f t="shared" si="8"/>
        <v>BA1_6</v>
      </c>
      <c r="H243" s="39"/>
    </row>
    <row r="244" spans="1:23" s="68" customFormat="1" ht="60">
      <c r="A244" s="104" t="s">
        <v>1614</v>
      </c>
      <c r="B244" s="67" t="str">
        <f>A244&amp;". Have you ever heard about the following agent services? "&amp; 'brand name'!C8</f>
        <v>BA1.96. Have you ever heard about the following agent services? Another digital financial services (LKD) and/or Laku Pandai agent that I didn't mention</v>
      </c>
      <c r="C244" s="32" t="s">
        <v>1587</v>
      </c>
      <c r="D244" s="83" t="s">
        <v>31</v>
      </c>
      <c r="E244" s="83">
        <v>1</v>
      </c>
      <c r="F244" s="55" t="s">
        <v>13</v>
      </c>
      <c r="G244" s="5" t="str">
        <f t="shared" si="8"/>
        <v>BA1_96</v>
      </c>
      <c r="H244" s="39" t="s">
        <v>1615</v>
      </c>
    </row>
    <row r="245" spans="1:23" s="68" customFormat="1" ht="56">
      <c r="A245" s="13" t="s">
        <v>1616</v>
      </c>
      <c r="B245" s="67" t="str">
        <f>A245&amp;". Have you ever used an agent for "&amp;Institution!A9&amp;"?"</f>
        <v>FN8.1. Have you ever used an agent for digital financial services (LKD) and/or Laku Pandai?</v>
      </c>
      <c r="C245" s="32" t="s">
        <v>1587</v>
      </c>
      <c r="D245" s="83" t="s">
        <v>31</v>
      </c>
      <c r="E245" s="83">
        <v>1</v>
      </c>
      <c r="F245" s="105" t="s">
        <v>1617</v>
      </c>
      <c r="G245" s="5" t="str">
        <f t="shared" si="8"/>
        <v>FN8_1</v>
      </c>
      <c r="H245" s="39"/>
    </row>
    <row r="246" spans="1:23" s="68" customFormat="1" ht="56">
      <c r="A246" s="13" t="s">
        <v>1618</v>
      </c>
      <c r="B246" s="67" t="str">
        <f>A246&amp;". Do you have a "&amp;Institution!A9&amp;" account registered in your name or jointly in your name and someone else's name?"</f>
        <v>FN8.2. Do you have a digital financial services (LKD) and/or Laku Pandai account registered in your name or jointly in your name and someone else's name?</v>
      </c>
      <c r="C246" s="32" t="s">
        <v>1587</v>
      </c>
      <c r="D246" s="83" t="s">
        <v>31</v>
      </c>
      <c r="E246" s="83">
        <v>1</v>
      </c>
      <c r="F246" s="105" t="s">
        <v>1617</v>
      </c>
      <c r="G246" s="5" t="str">
        <f t="shared" si="8"/>
        <v>FN8_2</v>
      </c>
      <c r="H246" s="39"/>
    </row>
    <row r="247" spans="1:23" s="65" customFormat="1" ht="98">
      <c r="A247" s="13" t="s">
        <v>1619</v>
      </c>
      <c r="B247" s="67" t="str">
        <f>A247&amp;". When was the last time you used your account with the "&amp;Institution!A9&amp;"?"</f>
        <v>FN8.3. When was the last time you used your account with the digital financial services (LKD) and/or Laku Pandai?</v>
      </c>
      <c r="C247" s="32" t="s">
        <v>1528</v>
      </c>
      <c r="D247" s="83" t="s">
        <v>31</v>
      </c>
      <c r="E247" s="83">
        <v>1</v>
      </c>
      <c r="F247" s="77" t="s">
        <v>1620</v>
      </c>
      <c r="G247" s="5" t="str">
        <f t="shared" si="8"/>
        <v>FN8_3</v>
      </c>
      <c r="H247" s="63"/>
    </row>
    <row r="248" spans="1:23" s="65" customFormat="1" ht="48">
      <c r="A248" s="9" t="s">
        <v>1621</v>
      </c>
      <c r="B248" s="67" t="str">
        <f>A248&amp;". Have you ever used a "&amp;Institution!A10&amp;" to borrow, save, or access another financial product or service?"</f>
        <v>FN9.1. Have you ever used a pawnshop to borrow, save, or access another financial product or service?</v>
      </c>
      <c r="C248" s="32" t="s">
        <v>125</v>
      </c>
      <c r="D248" s="83" t="s">
        <v>31</v>
      </c>
      <c r="E248" s="83">
        <v>1</v>
      </c>
      <c r="F248" s="77" t="s">
        <v>13</v>
      </c>
      <c r="G248" s="9" t="str">
        <f t="shared" si="8"/>
        <v>FN9_1</v>
      </c>
      <c r="H248" s="63" t="s">
        <v>1622</v>
      </c>
    </row>
    <row r="249" spans="1:23" s="65" customFormat="1" ht="28">
      <c r="A249" s="9" t="s">
        <v>1623</v>
      </c>
      <c r="B249" s="67" t="str">
        <f>A249&amp;". Do you have an account registered in your name with a "&amp;Institution!A10&amp;"?"</f>
        <v>FN9.2. Do you have an account registered in your name with a pawnshop?</v>
      </c>
      <c r="C249" s="32" t="s">
        <v>125</v>
      </c>
      <c r="D249" s="83" t="s">
        <v>31</v>
      </c>
      <c r="E249" s="83">
        <v>1</v>
      </c>
      <c r="F249" s="77" t="s">
        <v>13</v>
      </c>
      <c r="G249" s="83" t="str">
        <f t="shared" si="8"/>
        <v>FN9_2</v>
      </c>
      <c r="H249" s="63" t="s">
        <v>1624</v>
      </c>
    </row>
    <row r="250" spans="1:23" s="65" customFormat="1" ht="98">
      <c r="A250" s="9" t="s">
        <v>1625</v>
      </c>
      <c r="B250" s="67" t="str">
        <f>A250&amp;". When was the last time you used your account with a "&amp;Institution!A10&amp;"?"</f>
        <v>FN9.3. When was the last time you used your account with a pawnshop?</v>
      </c>
      <c r="C250" s="32" t="s">
        <v>1528</v>
      </c>
      <c r="D250" s="83" t="s">
        <v>31</v>
      </c>
      <c r="E250" s="83">
        <v>1</v>
      </c>
      <c r="F250" s="77" t="s">
        <v>1626</v>
      </c>
      <c r="G250" s="83" t="str">
        <f t="shared" si="8"/>
        <v>FN9_3</v>
      </c>
      <c r="H250" s="63" t="s">
        <v>1627</v>
      </c>
    </row>
    <row r="251" spans="1:23" s="65" customFormat="1" ht="28">
      <c r="A251" s="9" t="s">
        <v>1628</v>
      </c>
      <c r="B251" s="67" t="str">
        <f>A251&amp;". Have you ever used a product or service of a "&amp;Institution!A11&amp;", such as financing the purchase of a vehicle, appliance, or other large item?"</f>
        <v>FN10.1. Have you ever used a product or service of a multifinance  (e.g. Adira, FIF, BAF, AAC, etc.), such as financing the purchase of a vehicle, appliance, or other large item?</v>
      </c>
      <c r="C251" s="32" t="s">
        <v>95</v>
      </c>
      <c r="D251" s="83" t="s">
        <v>31</v>
      </c>
      <c r="E251" s="83">
        <v>1</v>
      </c>
      <c r="F251" s="77" t="s">
        <v>13</v>
      </c>
      <c r="G251" s="83" t="str">
        <f t="shared" si="8"/>
        <v>FN10_1</v>
      </c>
      <c r="H251" s="63"/>
    </row>
    <row r="252" spans="1:23" s="65" customFormat="1" ht="28">
      <c r="A252" s="9" t="s">
        <v>1629</v>
      </c>
      <c r="B252" s="67" t="str">
        <f>A252&amp;". Do you have an account registered in your name with a "&amp;Institution!A11&amp;"?"</f>
        <v>FN10.2. Do you have an account registered in your name with a multifinance  (e.g. Adira, FIF, BAF, AAC, etc.)?</v>
      </c>
      <c r="C252" s="32" t="s">
        <v>95</v>
      </c>
      <c r="D252" s="71" t="s">
        <v>31</v>
      </c>
      <c r="E252" s="71">
        <v>1</v>
      </c>
      <c r="F252" s="94" t="s">
        <v>13</v>
      </c>
      <c r="G252" s="71" t="str">
        <f t="shared" si="8"/>
        <v>FN10_2</v>
      </c>
      <c r="H252" s="63"/>
    </row>
    <row r="253" spans="1:23" s="79" customFormat="1" ht="98">
      <c r="A253" s="9" t="s">
        <v>1630</v>
      </c>
      <c r="B253" s="67" t="str">
        <f>A253&amp;". When was the last time you used your account with a "&amp;Institution!A11&amp;"?"</f>
        <v>FN10.3. When was the last time you used your account with a multifinance  (e.g. Adira, FIF, BAF, AAC, etc.)?</v>
      </c>
      <c r="C253" s="32" t="s">
        <v>1528</v>
      </c>
      <c r="D253" s="83" t="s">
        <v>31</v>
      </c>
      <c r="E253" s="83">
        <v>1</v>
      </c>
      <c r="F253" s="77" t="s">
        <v>1631</v>
      </c>
      <c r="G253" s="83" t="str">
        <f t="shared" ref="G253" si="10">SUBSTITUTE(A253,".","_")</f>
        <v>FN10_3</v>
      </c>
      <c r="H253" s="78"/>
      <c r="I253" s="90"/>
      <c r="J253" s="90"/>
      <c r="K253" s="90"/>
      <c r="L253" s="90"/>
      <c r="M253" s="90"/>
      <c r="N253" s="90"/>
      <c r="O253" s="90"/>
      <c r="P253" s="90"/>
      <c r="Q253" s="90"/>
      <c r="R253" s="90"/>
      <c r="S253" s="90"/>
      <c r="T253" s="90"/>
      <c r="U253" s="90"/>
      <c r="V253" s="90"/>
      <c r="W253" s="90"/>
    </row>
    <row r="254" spans="1:23" s="79" customFormat="1" ht="48">
      <c r="A254" s="9" t="s">
        <v>1632</v>
      </c>
      <c r="B254" s="32" t="str">
        <f>A254&amp;". Some people join informal saving and lending groups, such as an "&amp;Institution!A12&amp;". Have you ever participated in an "&amp;Institution!A12&amp;"?"</f>
        <v>FN11.1. Some people join informal saving and lending groups, such as an arisan, money guard, or other informal financial groups. Have you ever participated in an arisan, money guard, or other informal financial groups?</v>
      </c>
      <c r="C254" s="32" t="s">
        <v>125</v>
      </c>
      <c r="D254" s="9" t="s">
        <v>31</v>
      </c>
      <c r="E254" s="9">
        <v>1</v>
      </c>
      <c r="F254" s="55" t="s">
        <v>13</v>
      </c>
      <c r="G254" s="9" t="str">
        <f>SUBSTITUTE(A254,".","_")</f>
        <v>FN11_1</v>
      </c>
      <c r="H254" s="78" t="s">
        <v>1633</v>
      </c>
      <c r="I254" s="90"/>
      <c r="J254" s="90"/>
      <c r="K254" s="90"/>
      <c r="L254" s="90"/>
      <c r="M254" s="90"/>
      <c r="N254" s="90"/>
      <c r="O254" s="90"/>
      <c r="P254" s="90"/>
      <c r="Q254" s="90"/>
      <c r="R254" s="90"/>
      <c r="S254" s="90"/>
      <c r="T254" s="90"/>
      <c r="U254" s="90"/>
      <c r="V254" s="90"/>
      <c r="W254" s="90"/>
    </row>
    <row r="255" spans="1:23" s="79" customFormat="1" ht="28">
      <c r="A255" s="9" t="s">
        <v>1634</v>
      </c>
      <c r="B255" s="32" t="str">
        <f>A255&amp;". Are you currently a member of a "&amp;Institution!A12&amp;"?"</f>
        <v>FN11.2. Are you currently a member of a arisan, money guard, or other informal financial groups?</v>
      </c>
      <c r="C255" s="32" t="s">
        <v>125</v>
      </c>
      <c r="D255" s="9" t="s">
        <v>31</v>
      </c>
      <c r="E255" s="9">
        <v>1</v>
      </c>
      <c r="F255" s="55" t="s">
        <v>13</v>
      </c>
      <c r="G255" s="9" t="str">
        <f>SUBSTITUTE(A255,".","_")</f>
        <v>FN11_2</v>
      </c>
      <c r="H255" s="78"/>
      <c r="I255" s="90"/>
      <c r="J255" s="90"/>
      <c r="K255" s="90"/>
      <c r="L255" s="90"/>
      <c r="M255" s="90"/>
      <c r="N255" s="90"/>
      <c r="O255" s="90"/>
      <c r="P255" s="90"/>
      <c r="Q255" s="90"/>
      <c r="R255" s="90"/>
      <c r="S255" s="90"/>
      <c r="T255" s="90"/>
      <c r="U255" s="90"/>
      <c r="V255" s="90"/>
      <c r="W255" s="90"/>
    </row>
    <row r="256" spans="1:23" s="79" customFormat="1" ht="176">
      <c r="A256" s="9" t="s">
        <v>1635</v>
      </c>
      <c r="B256" s="32" t="str">
        <f>A256&amp;" When was the last time you saved, borrowed, paid money to, received money from, or participated in any other financial activity with an "&amp;Institution!A12&amp;"?"</f>
        <v>FN11.3 When was the last time you saved, borrowed, paid money to, received money from, or participated in any other financial activity with an arisan, money guard, or other informal financial groups?</v>
      </c>
      <c r="C256" s="32" t="s">
        <v>1528</v>
      </c>
      <c r="D256" s="9" t="s">
        <v>31</v>
      </c>
      <c r="E256" s="9">
        <v>1</v>
      </c>
      <c r="F256" s="77" t="s">
        <v>1636</v>
      </c>
      <c r="G256" s="9" t="str">
        <f>SUBSTITUTE(A256,".","_")</f>
        <v>FN11_3</v>
      </c>
      <c r="H256" s="78" t="s">
        <v>1637</v>
      </c>
      <c r="I256" s="90"/>
      <c r="J256" s="90"/>
      <c r="K256" s="90"/>
      <c r="L256" s="90"/>
      <c r="M256" s="90"/>
      <c r="N256" s="90"/>
      <c r="O256" s="90"/>
      <c r="P256" s="90"/>
      <c r="Q256" s="90"/>
      <c r="R256" s="90"/>
      <c r="S256" s="90"/>
      <c r="T256" s="90"/>
      <c r="U256" s="90"/>
      <c r="V256" s="90"/>
      <c r="W256" s="90"/>
    </row>
    <row r="257" spans="1:8" s="1" customFormat="1" ht="25" customHeight="1">
      <c r="A257" s="9" t="s">
        <v>1638</v>
      </c>
      <c r="B257" s="32" t="str">
        <f>A257&amp;" Does your "&amp;Institution!A12&amp;" have an account with a bank or other formal financial institution?"</f>
        <v>FN11.4 Does your arisan, money guard, or other informal financial groups have an account with a bank or other formal financial institution?</v>
      </c>
      <c r="C257" s="32" t="s">
        <v>1639</v>
      </c>
      <c r="D257" s="9" t="s">
        <v>31</v>
      </c>
      <c r="E257" s="9">
        <v>2</v>
      </c>
      <c r="F257" s="77" t="s">
        <v>1636</v>
      </c>
      <c r="G257" s="9" t="str">
        <f>SUBSTITUTE(A257,".","_")</f>
        <v>FN11_4</v>
      </c>
      <c r="H257" s="43"/>
    </row>
    <row r="258" spans="1:8" s="1" customFormat="1" ht="42">
      <c r="A258" s="262" t="s">
        <v>1640</v>
      </c>
      <c r="B258" s="262"/>
      <c r="C258" s="262"/>
      <c r="D258" s="262"/>
      <c r="E258" s="262"/>
      <c r="F258" s="49" t="s">
        <v>1641</v>
      </c>
      <c r="G258" s="180"/>
      <c r="H258" s="43" t="s">
        <v>1642</v>
      </c>
    </row>
    <row r="259" spans="1:8">
      <c r="A259" s="3" t="s">
        <v>2</v>
      </c>
      <c r="B259" s="4" t="s">
        <v>3</v>
      </c>
      <c r="C259" s="4" t="s">
        <v>4</v>
      </c>
      <c r="D259" s="3" t="s">
        <v>5</v>
      </c>
      <c r="E259" s="4" t="s">
        <v>6</v>
      </c>
      <c r="F259" s="4" t="s">
        <v>7</v>
      </c>
      <c r="G259" s="3" t="s">
        <v>8</v>
      </c>
    </row>
    <row r="260" spans="1:8" ht="70">
      <c r="A260" s="95" t="s">
        <v>1643</v>
      </c>
      <c r="B260" s="46" t="str">
        <f>A260&amp;". How often have you experienced any of the following issues with a digital financial services (LKD) and/or Laku Pandai agent? "&amp;Other!K2</f>
        <v>BA2.1. How often have you experienced any of the following issues with a digital financial services (LKD) and/or Laku Pandai agent? Agent charged a fee that I did not expect</v>
      </c>
      <c r="C260" s="6" t="s">
        <v>1644</v>
      </c>
      <c r="D260" s="5" t="s">
        <v>31</v>
      </c>
      <c r="E260" s="5">
        <v>1</v>
      </c>
      <c r="F260" s="106" t="s">
        <v>1641</v>
      </c>
      <c r="G260" s="5" t="str">
        <f t="shared" ref="G260:G269" si="11">SUBSTITUTE(A260,".","_")</f>
        <v>BA2_1</v>
      </c>
    </row>
    <row r="261" spans="1:8" ht="70">
      <c r="A261" s="95" t="s">
        <v>1645</v>
      </c>
      <c r="B261" s="46" t="str">
        <f>A261&amp;". How often have you experienced any of the following issues with a digital financial services (LKD) and/or Laku Pandai agent? "&amp;Other!K3</f>
        <v>BA2.2. How often have you experienced any of the following issues with a digital financial services (LKD) and/or Laku Pandai agent? Agent did not have enough cash or e-float and could not perform the transaction</v>
      </c>
      <c r="C261" s="6" t="s">
        <v>1644</v>
      </c>
      <c r="D261" s="5" t="s">
        <v>31</v>
      </c>
      <c r="E261" s="5">
        <v>1</v>
      </c>
      <c r="F261" s="106" t="s">
        <v>1641</v>
      </c>
      <c r="G261" s="5" t="str">
        <f t="shared" si="11"/>
        <v>BA2_2</v>
      </c>
    </row>
    <row r="262" spans="1:8" ht="70">
      <c r="A262" s="95" t="s">
        <v>1646</v>
      </c>
      <c r="B262" s="46" t="str">
        <f>A262&amp;". How often have you experienced any of the following issues with a digital financial services (LKD) and/or Laku Pandai agent? "&amp;Other!K4</f>
        <v>BA2.3. How often have you experienced any of the following issues with a digital financial services (LKD) and/or Laku Pandai agent? Agent refused to perform transaction for no reason</v>
      </c>
      <c r="C262" s="6" t="s">
        <v>1644</v>
      </c>
      <c r="D262" s="5" t="s">
        <v>31</v>
      </c>
      <c r="E262" s="5">
        <v>1</v>
      </c>
      <c r="F262" s="106" t="s">
        <v>1641</v>
      </c>
      <c r="G262" s="5" t="str">
        <f t="shared" si="11"/>
        <v>BA2_3</v>
      </c>
    </row>
    <row r="263" spans="1:8" ht="70">
      <c r="A263" s="95" t="s">
        <v>1647</v>
      </c>
      <c r="B263" s="46" t="str">
        <f>A263&amp;". How often have you experienced any of the following issues with a digital financial services (LKD) and/or Laku Pandai agent? "&amp;Other!K5</f>
        <v>BA2.4. How often have you experienced any of the following issues with a digital financial services (LKD) and/or Laku Pandai agent? Agent did not know how to perform the transaction</v>
      </c>
      <c r="C263" s="6" t="s">
        <v>1644</v>
      </c>
      <c r="D263" s="5" t="s">
        <v>31</v>
      </c>
      <c r="E263" s="5">
        <v>1</v>
      </c>
      <c r="F263" s="106" t="s">
        <v>1641</v>
      </c>
      <c r="G263" s="5" t="str">
        <f t="shared" si="11"/>
        <v>BA2_4</v>
      </c>
    </row>
    <row r="264" spans="1:8" ht="70">
      <c r="A264" s="95" t="s">
        <v>1648</v>
      </c>
      <c r="B264" s="46" t="str">
        <f>A264&amp;". How often have you experienced any of the following issues with a digital financial services (LKD) and/or Laku Pandai agent? "&amp;Other!K6</f>
        <v>BA2.5. How often have you experienced any of the following issues with a digital financial services (LKD) and/or Laku Pandai agent? Agent overcharged for the transaction</v>
      </c>
      <c r="C264" s="6" t="s">
        <v>1644</v>
      </c>
      <c r="D264" s="5" t="s">
        <v>31</v>
      </c>
      <c r="E264" s="5">
        <v>1</v>
      </c>
      <c r="F264" s="106" t="s">
        <v>1641</v>
      </c>
      <c r="G264" s="5" t="str">
        <f t="shared" si="11"/>
        <v>BA2_5</v>
      </c>
    </row>
    <row r="265" spans="1:8" ht="70">
      <c r="A265" s="95" t="s">
        <v>1649</v>
      </c>
      <c r="B265" s="46" t="str">
        <f>A265&amp;". How often have you experienced any of the following issues with a digital financial services (LKD) and/or Laku Pandai agent? "&amp;Other!K7</f>
        <v>BA2.6. How often have you experienced any of the following issues with a digital financial services (LKD) and/or Laku Pandai agent? Agent did not give all the cash that was owed</v>
      </c>
      <c r="C265" s="6" t="s">
        <v>1644</v>
      </c>
      <c r="D265" s="5" t="s">
        <v>31</v>
      </c>
      <c r="E265" s="5">
        <v>1</v>
      </c>
      <c r="F265" s="106" t="s">
        <v>1641</v>
      </c>
      <c r="G265" s="5" t="str">
        <f t="shared" si="11"/>
        <v>BA2_6</v>
      </c>
    </row>
    <row r="266" spans="1:8" ht="70">
      <c r="A266" s="95" t="s">
        <v>1650</v>
      </c>
      <c r="B266" s="46" t="str">
        <f>A266&amp;". How often have you experienced any of the following issues with a digital financial services (LKD) and/or Laku Pandai agent? "&amp;Other!K8</f>
        <v>BA2.7. How often have you experienced any of the following issues with a digital financial services (LKD) and/or Laku Pandai agent? Agent system or mobile network was down</v>
      </c>
      <c r="C266" s="6" t="s">
        <v>1644</v>
      </c>
      <c r="D266" s="5" t="s">
        <v>31</v>
      </c>
      <c r="E266" s="5">
        <v>1</v>
      </c>
      <c r="F266" s="106" t="s">
        <v>1641</v>
      </c>
      <c r="G266" s="5" t="str">
        <f t="shared" si="11"/>
        <v>BA2_7</v>
      </c>
    </row>
    <row r="267" spans="1:8" ht="70">
      <c r="A267" s="95" t="s">
        <v>1651</v>
      </c>
      <c r="B267" s="46" t="str">
        <f>A267&amp;". How often have you experienced any of the following issues with a digital financial services (LKD) and/or Laku Pandai agent? "&amp;Other!K9</f>
        <v>BA2.8. How often have you experienced any of the following issues with a digital financial services (LKD) and/or Laku Pandai agent? Agent was dismissive of women</v>
      </c>
      <c r="C267" s="6" t="s">
        <v>1644</v>
      </c>
      <c r="D267" s="5" t="s">
        <v>31</v>
      </c>
      <c r="E267" s="5">
        <v>1</v>
      </c>
      <c r="F267" s="106" t="s">
        <v>1641</v>
      </c>
      <c r="G267" s="5" t="str">
        <f t="shared" si="11"/>
        <v>BA2_8</v>
      </c>
    </row>
    <row r="268" spans="1:8" ht="70">
      <c r="A268" s="95" t="s">
        <v>1652</v>
      </c>
      <c r="B268" s="46" t="str">
        <f>A268&amp;". How often have you experienced any of the following issues with a digital financial services (LKD) and/or Laku Pandai agent? "&amp;Other!K10</f>
        <v>BA2.9. How often have you experienced any of the following issues with a digital financial services (LKD) and/or Laku Pandai agent? Agent committed fraud</v>
      </c>
      <c r="C268" s="6" t="s">
        <v>1644</v>
      </c>
      <c r="D268" s="5" t="s">
        <v>31</v>
      </c>
      <c r="E268" s="5">
        <v>1</v>
      </c>
      <c r="F268" s="106" t="s">
        <v>1641</v>
      </c>
      <c r="G268" s="5" t="str">
        <f t="shared" si="11"/>
        <v>BA2_9</v>
      </c>
    </row>
    <row r="269" spans="1:8" ht="70">
      <c r="A269" s="95" t="s">
        <v>1653</v>
      </c>
      <c r="B269" s="46" t="str">
        <f>A269&amp;". How often have you experienced any of the following issues with a digital financial services (LKD) and/or Laku Pandai agent? "&amp;Other!K11</f>
        <v>BA2.10. How often have you experienced any of the following issues with a digital financial services (LKD) and/or Laku Pandai agent? Agent’s place was not secure/there were suspicious people at agent’s place</v>
      </c>
      <c r="C269" s="6" t="s">
        <v>1644</v>
      </c>
      <c r="D269" s="5" t="s">
        <v>31</v>
      </c>
      <c r="E269" s="5">
        <v>1</v>
      </c>
      <c r="F269" s="106" t="s">
        <v>1641</v>
      </c>
      <c r="G269" s="5" t="str">
        <f t="shared" si="11"/>
        <v>BA2_10</v>
      </c>
    </row>
    <row r="270" spans="1:8" ht="70">
      <c r="A270" s="95" t="s">
        <v>1654</v>
      </c>
      <c r="B270" s="46" t="str">
        <f>A270&amp;". How often have you experienced any of the following issues with a digital financial services (LKD) and/or Laku Pandai agent? "&amp;Other!K12</f>
        <v>BA2.11. How often have you experienced any of the following issues with a digital financial services (LKD) and/or Laku Pandai agent? Agent shared your personal account information with other people without your knowledge or permission</v>
      </c>
      <c r="C270" s="6" t="s">
        <v>1644</v>
      </c>
      <c r="D270" s="5" t="s">
        <v>31</v>
      </c>
      <c r="E270" s="5">
        <v>1</v>
      </c>
      <c r="F270" s="106" t="s">
        <v>1641</v>
      </c>
      <c r="G270" s="5" t="str">
        <f>SUBSTITUTE(A270,".","_")</f>
        <v>BA2_11</v>
      </c>
    </row>
    <row r="271" spans="1:8" ht="70">
      <c r="A271" s="262" t="s">
        <v>1655</v>
      </c>
      <c r="B271" s="262"/>
      <c r="C271" s="262"/>
      <c r="D271" s="262"/>
      <c r="E271" s="262"/>
      <c r="F271" s="107" t="s">
        <v>1656</v>
      </c>
      <c r="G271" s="107" t="s">
        <v>1657</v>
      </c>
    </row>
    <row r="272" spans="1:8">
      <c r="A272" s="3" t="s">
        <v>2</v>
      </c>
      <c r="B272" s="4" t="s">
        <v>3</v>
      </c>
      <c r="C272" s="4" t="s">
        <v>4</v>
      </c>
      <c r="D272" s="3" t="s">
        <v>5</v>
      </c>
      <c r="E272" s="4" t="s">
        <v>6</v>
      </c>
      <c r="F272" s="4" t="s">
        <v>7</v>
      </c>
      <c r="G272" s="3" t="s">
        <v>8</v>
      </c>
    </row>
    <row r="273" spans="1:8" ht="70">
      <c r="A273" s="62" t="s">
        <v>1658</v>
      </c>
      <c r="B273" s="72" t="str">
        <f>A273&amp;". Is this a reason why you do not have an e-money, mobile money or digital product account? "&amp;Other!L2</f>
        <v>UR1.1. Is this a reason why you do not have an e-money, mobile money or digital product account? A friend or family member has an account that you can use</v>
      </c>
      <c r="C273" s="6" t="s">
        <v>125</v>
      </c>
      <c r="D273" s="5" t="s">
        <v>31</v>
      </c>
      <c r="E273" s="5">
        <v>1</v>
      </c>
      <c r="F273" s="108" t="s">
        <v>1656</v>
      </c>
      <c r="G273" s="5" t="str">
        <f t="shared" ref="G273:G283" si="12">SUBSTITUTE(A273,".","_")</f>
        <v>UR1_1</v>
      </c>
    </row>
    <row r="274" spans="1:8" ht="70">
      <c r="A274" s="62" t="s">
        <v>1659</v>
      </c>
      <c r="B274" s="72" t="str">
        <f>A274&amp;". Is this a reason why you do not have an e-money, mobile money or digital product account? "&amp;Other!L3</f>
        <v>UR1.2. Is this a reason why you do not have an e-money, mobile money or digital product account? You do not have the required identification documents</v>
      </c>
      <c r="C274" s="6" t="s">
        <v>125</v>
      </c>
      <c r="D274" s="5" t="s">
        <v>31</v>
      </c>
      <c r="E274" s="5">
        <v>1</v>
      </c>
      <c r="F274" s="108" t="s">
        <v>1656</v>
      </c>
      <c r="G274" s="5" t="str">
        <f t="shared" si="12"/>
        <v>UR1_2</v>
      </c>
    </row>
    <row r="275" spans="1:8" s="1" customFormat="1" ht="70">
      <c r="A275" s="62" t="s">
        <v>1660</v>
      </c>
      <c r="B275" s="72" t="str">
        <f>A275&amp;". Is this a reason why you do not have an e-money, mobile money or digital product account? "&amp;Other!L4</f>
        <v>UR1.3. Is this a reason why you do not have an e-money, mobile money or digital product account? You do not use products and services that require a registered account</v>
      </c>
      <c r="C275" s="6" t="s">
        <v>125</v>
      </c>
      <c r="D275" s="5" t="s">
        <v>31</v>
      </c>
      <c r="E275" s="5">
        <v>1</v>
      </c>
      <c r="F275" s="108" t="s">
        <v>1656</v>
      </c>
      <c r="G275" s="5" t="str">
        <f t="shared" si="12"/>
        <v>UR1_3</v>
      </c>
      <c r="H275" s="43"/>
    </row>
    <row r="276" spans="1:8" s="1" customFormat="1" ht="70">
      <c r="A276" s="62" t="s">
        <v>1661</v>
      </c>
      <c r="B276" s="72" t="str">
        <f>A276&amp;". Is this a reason why you do not have an e-money, mobile money or digital product account? "&amp;Other!L5</f>
        <v>UR1.4. Is this a reason why you do not have an e-money, mobile money or digital product account? You do not know how to register an account</v>
      </c>
      <c r="C276" s="6" t="s">
        <v>125</v>
      </c>
      <c r="D276" s="5" t="s">
        <v>31</v>
      </c>
      <c r="E276" s="5">
        <v>1</v>
      </c>
      <c r="F276" s="108" t="s">
        <v>1656</v>
      </c>
      <c r="G276" s="5" t="str">
        <f t="shared" si="12"/>
        <v>UR1_4</v>
      </c>
      <c r="H276" s="43"/>
    </row>
    <row r="277" spans="1:8" ht="70">
      <c r="A277" s="62" t="s">
        <v>1662</v>
      </c>
      <c r="B277" s="72" t="str">
        <f>A277&amp;". Is this a reason why you do not have an e-money, mobile money or digital product account? "&amp;Other!L6</f>
        <v>UR1.5. Is this a reason why you do not have an e-money, mobile money or digital product account? You had an account previously but not anymore</v>
      </c>
      <c r="C277" s="6" t="s">
        <v>125</v>
      </c>
      <c r="D277" s="5" t="s">
        <v>31</v>
      </c>
      <c r="E277" s="5">
        <v>1</v>
      </c>
      <c r="F277" s="108" t="s">
        <v>1656</v>
      </c>
      <c r="G277" s="5" t="str">
        <f t="shared" si="12"/>
        <v>UR1_5</v>
      </c>
    </row>
    <row r="278" spans="1:8" ht="70">
      <c r="A278" s="62" t="s">
        <v>1663</v>
      </c>
      <c r="B278" s="72" t="str">
        <f>A278&amp;". Is this a reason why you do not have an e-money, mobile money or digital product account? "&amp;Other!L7</f>
        <v>UR1.6. Is this a reason why you do not have an e-money, mobile money or digital product account? You have an account from a different financial institution that you prefer to use</v>
      </c>
      <c r="C278" s="6" t="s">
        <v>125</v>
      </c>
      <c r="D278" s="5" t="s">
        <v>31</v>
      </c>
      <c r="E278" s="5">
        <v>1</v>
      </c>
      <c r="F278" s="108" t="s">
        <v>1656</v>
      </c>
      <c r="G278" s="5" t="str">
        <f t="shared" si="12"/>
        <v>UR1_6</v>
      </c>
    </row>
    <row r="279" spans="1:8" ht="70">
      <c r="A279" s="62" t="s">
        <v>1664</v>
      </c>
      <c r="B279" s="72" t="str">
        <f>A279&amp;". Is this a reason why you do not have an e-money, mobile money or digital product account? "&amp;Other!L8</f>
        <v>UR1.7. Is this a reason why you do not have an e-money, mobile money or digital product account? You don't have enough money to use a registered account</v>
      </c>
      <c r="C279" s="6" t="s">
        <v>125</v>
      </c>
      <c r="D279" s="5" t="s">
        <v>31</v>
      </c>
      <c r="E279" s="5">
        <v>1</v>
      </c>
      <c r="F279" s="108" t="s">
        <v>1656</v>
      </c>
      <c r="G279" s="5" t="str">
        <f t="shared" si="12"/>
        <v>UR1_7</v>
      </c>
    </row>
    <row r="280" spans="1:8" ht="70">
      <c r="A280" s="62" t="s">
        <v>1665</v>
      </c>
      <c r="B280" s="72" t="str">
        <f>A280&amp;". Is this a reason why you do not have an e-money, mobile money or digital product account? "&amp;Other!L9</f>
        <v>UR1.8. Is this a reason why you do not have an e-money, mobile money or digital product account? You don't trust these services</v>
      </c>
      <c r="C280" s="6" t="s">
        <v>125</v>
      </c>
      <c r="D280" s="5" t="s">
        <v>31</v>
      </c>
      <c r="E280" s="5">
        <v>1</v>
      </c>
      <c r="F280" s="108" t="s">
        <v>1656</v>
      </c>
      <c r="G280" s="5" t="str">
        <f t="shared" si="12"/>
        <v>UR1_8</v>
      </c>
    </row>
    <row r="281" spans="1:8" ht="70">
      <c r="A281" s="62" t="s">
        <v>1666</v>
      </c>
      <c r="B281" s="72" t="str">
        <f>A281&amp;". Is this a reason why you do not have an e-money, mobile money or digital product account? "&amp;Other!L10</f>
        <v>UR1.9. Is this a reason why you do not have an e-money, mobile money or digital product account? You feel at risk of losing money</v>
      </c>
      <c r="C281" s="6" t="s">
        <v>125</v>
      </c>
      <c r="D281" s="5" t="s">
        <v>31</v>
      </c>
      <c r="E281" s="5">
        <v>1</v>
      </c>
      <c r="F281" s="108" t="s">
        <v>1656</v>
      </c>
      <c r="G281" s="5" t="str">
        <f t="shared" si="12"/>
        <v>UR1_9</v>
      </c>
    </row>
    <row r="282" spans="1:8" ht="70">
      <c r="A282" s="62" t="s">
        <v>1667</v>
      </c>
      <c r="B282" s="72" t="str">
        <f>A282&amp;". Is this a reason why you do not have an e-money, mobile money or digital product account? "&amp;Other!L11</f>
        <v>UR1.10. Is this a reason why you do not have an e-money, mobile money or digital product account? You prefer to use cash</v>
      </c>
      <c r="C282" s="6" t="s">
        <v>125</v>
      </c>
      <c r="D282" s="5" t="s">
        <v>31</v>
      </c>
      <c r="E282" s="5">
        <v>1</v>
      </c>
      <c r="F282" s="108" t="s">
        <v>1656</v>
      </c>
      <c r="G282" s="5" t="str">
        <f t="shared" si="12"/>
        <v>UR1_10</v>
      </c>
    </row>
    <row r="283" spans="1:8" ht="70">
      <c r="A283" s="62" t="s">
        <v>1668</v>
      </c>
      <c r="B283" s="72" t="str">
        <f>A283&amp;". Is this a reason why you do not have an e-money, mobile money or digital product account? "&amp;Other!L12</f>
        <v>UR1.11. Is this a reason why you do not have an e-money, mobile money or digital product account? Fees and expenses for using an account are too high</v>
      </c>
      <c r="C283" s="6" t="s">
        <v>125</v>
      </c>
      <c r="D283" s="5" t="s">
        <v>31</v>
      </c>
      <c r="E283" s="5">
        <v>1</v>
      </c>
      <c r="F283" s="108" t="s">
        <v>1656</v>
      </c>
      <c r="G283" s="5" t="str">
        <f t="shared" si="12"/>
        <v>UR1_11</v>
      </c>
    </row>
    <row r="284" spans="1:8" s="109" customFormat="1" ht="42">
      <c r="A284" s="262" t="s">
        <v>1669</v>
      </c>
      <c r="B284" s="262"/>
      <c r="C284" s="262"/>
      <c r="D284" s="262"/>
      <c r="E284" s="262"/>
      <c r="F284" s="14" t="s">
        <v>1670</v>
      </c>
      <c r="G284" s="49"/>
      <c r="H284" s="43"/>
    </row>
    <row r="285" spans="1:8" s="110" customFormat="1">
      <c r="A285" s="3" t="s">
        <v>2</v>
      </c>
      <c r="B285" s="4" t="s">
        <v>3</v>
      </c>
      <c r="C285" s="4" t="s">
        <v>4</v>
      </c>
      <c r="D285" s="3" t="s">
        <v>5</v>
      </c>
      <c r="E285" s="4" t="s">
        <v>6</v>
      </c>
      <c r="F285" s="4" t="s">
        <v>7</v>
      </c>
      <c r="G285" s="3" t="s">
        <v>8</v>
      </c>
      <c r="H285" s="40"/>
    </row>
    <row r="286" spans="1:8" s="110" customFormat="1" ht="42">
      <c r="A286" s="22" t="s">
        <v>1671</v>
      </c>
      <c r="B286" s="72" t="str">
        <f>A286&amp;". Is this a reason why you do not use e-money, mobile money, or digital products and services? "&amp;Other!C27</f>
        <v>MM12.1. Is this a reason why you do not use e-money, mobile money, or digital products and services? You don't know enough about digital products and services</v>
      </c>
      <c r="C286" s="23" t="s">
        <v>125</v>
      </c>
      <c r="D286" s="22" t="s">
        <v>31</v>
      </c>
      <c r="E286" s="22">
        <v>1</v>
      </c>
      <c r="F286" s="108" t="s">
        <v>1670</v>
      </c>
      <c r="G286" s="22" t="str">
        <f t="shared" ref="G286:G292" si="13">SUBSTITUTE(A286,".","_")</f>
        <v>MM12_1</v>
      </c>
      <c r="H286" s="40"/>
    </row>
    <row r="287" spans="1:8" s="110" customFormat="1" ht="42">
      <c r="A287" s="22" t="s">
        <v>1672</v>
      </c>
      <c r="B287" s="72" t="str">
        <f>A287&amp;". Is this a reason why you do not use e-money, mobile money, or digital products and services? "&amp;Other!C28</f>
        <v>MM12.2. Is this a reason why you do not use e-money, mobile money, or digital products and services? You don't need to use digital products and services</v>
      </c>
      <c r="C287" s="23" t="s">
        <v>125</v>
      </c>
      <c r="D287" s="22" t="s">
        <v>31</v>
      </c>
      <c r="E287" s="22">
        <v>1</v>
      </c>
      <c r="F287" s="108" t="s">
        <v>1670</v>
      </c>
      <c r="G287" s="22" t="str">
        <f t="shared" si="13"/>
        <v>MM12_2</v>
      </c>
      <c r="H287" s="40"/>
    </row>
    <row r="288" spans="1:8" s="110" customFormat="1" ht="42">
      <c r="A288" s="22" t="s">
        <v>1673</v>
      </c>
      <c r="B288" s="72" t="str">
        <f>A288&amp;". Is this a reason why you do not use e-money, mobile money, or digital products and services? "&amp;Other!C29</f>
        <v>MM12.3. Is this a reason why you do not use e-money, mobile money, or digital products and services? You don't have the required documents</v>
      </c>
      <c r="C288" s="23" t="s">
        <v>125</v>
      </c>
      <c r="D288" s="22" t="s">
        <v>31</v>
      </c>
      <c r="E288" s="22">
        <v>1</v>
      </c>
      <c r="F288" s="108" t="s">
        <v>1670</v>
      </c>
      <c r="G288" s="22" t="str">
        <f t="shared" si="13"/>
        <v>MM12_3</v>
      </c>
      <c r="H288" s="40"/>
    </row>
    <row r="289" spans="1:8" s="110" customFormat="1" ht="42">
      <c r="A289" s="22" t="s">
        <v>1674</v>
      </c>
      <c r="B289" s="72" t="str">
        <f>A289&amp;". Is this a reason why you do not use e-money, mobile money, or digital products and services? "&amp;Other!C30</f>
        <v>MM12.4. Is this a reason why you do not use e-money, mobile money, or digital products and services? You don't have enough money to use digital products and services</v>
      </c>
      <c r="C289" s="23" t="s">
        <v>125</v>
      </c>
      <c r="D289" s="22" t="s">
        <v>31</v>
      </c>
      <c r="E289" s="22">
        <v>1</v>
      </c>
      <c r="F289" s="108" t="s">
        <v>1670</v>
      </c>
      <c r="G289" s="22" t="str">
        <f t="shared" si="13"/>
        <v>MM12_4</v>
      </c>
      <c r="H289" s="40"/>
    </row>
    <row r="290" spans="1:8" s="110" customFormat="1" ht="42">
      <c r="A290" s="22" t="s">
        <v>1675</v>
      </c>
      <c r="B290" s="72" t="str">
        <f>A290&amp;". Is this a reason why you do not use e-money, mobile money, or digital products and services? "&amp;Other!C31</f>
        <v xml:space="preserve">MM12.5. Is this a reason why you do not use e-money, mobile money, or digital products and services? You don't trust digital products and services </v>
      </c>
      <c r="C290" s="23" t="s">
        <v>125</v>
      </c>
      <c r="D290" s="22" t="s">
        <v>31</v>
      </c>
      <c r="E290" s="22">
        <v>1</v>
      </c>
      <c r="F290" s="108" t="s">
        <v>1670</v>
      </c>
      <c r="G290" s="22" t="str">
        <f t="shared" si="13"/>
        <v>MM12_5</v>
      </c>
      <c r="H290" s="40"/>
    </row>
    <row r="291" spans="1:8" s="110" customFormat="1" ht="42">
      <c r="A291" s="22" t="s">
        <v>1676</v>
      </c>
      <c r="B291" s="72" t="str">
        <f>A291&amp;". Is this a reason why you do not use e-money, mobile money, or digital products and services? "&amp;Other!C32</f>
        <v>MM12.6. Is this a reason why you do not use e-money, mobile money, or digital products and services? You feel at risk of losing money</v>
      </c>
      <c r="C291" s="23" t="s">
        <v>125</v>
      </c>
      <c r="D291" s="22" t="s">
        <v>31</v>
      </c>
      <c r="E291" s="22">
        <v>1</v>
      </c>
      <c r="F291" s="108" t="s">
        <v>1670</v>
      </c>
      <c r="G291" s="22" t="str">
        <f t="shared" si="13"/>
        <v>MM12_6</v>
      </c>
      <c r="H291" s="40"/>
    </row>
    <row r="292" spans="1:8" s="110" customFormat="1" ht="42">
      <c r="A292" s="22" t="s">
        <v>1677</v>
      </c>
      <c r="B292" s="72" t="str">
        <f>A292&amp;". Is this a reason why you do not use e-money, mobile money, or digital products and services? "&amp;Other!C33</f>
        <v>MM12.7. Is this a reason why you do not use e-money, mobile money, or digital products and services? You prefer to use cash</v>
      </c>
      <c r="C292" s="23" t="s">
        <v>125</v>
      </c>
      <c r="D292" s="22" t="s">
        <v>31</v>
      </c>
      <c r="E292" s="22">
        <v>1</v>
      </c>
      <c r="F292" s="108" t="s">
        <v>1670</v>
      </c>
      <c r="G292" s="22" t="str">
        <f t="shared" si="13"/>
        <v>MM12_7</v>
      </c>
      <c r="H292" s="40"/>
    </row>
    <row r="293" spans="1:8" s="110" customFormat="1" ht="42">
      <c r="A293" s="22" t="s">
        <v>1678</v>
      </c>
      <c r="B293" s="72" t="str">
        <f>A293&amp;". Is this a reason why you do not use e-money, mobile money, or digital products and services? "&amp;Other!C34</f>
        <v>MM12.8. Is this a reason why you do not use e-money, mobile money, or digital products and services? Fees and expenses for using digital products and services are too high</v>
      </c>
      <c r="C293" s="23" t="s">
        <v>125</v>
      </c>
      <c r="D293" s="22" t="s">
        <v>31</v>
      </c>
      <c r="E293" s="22">
        <v>1</v>
      </c>
      <c r="F293" s="108" t="s">
        <v>1670</v>
      </c>
      <c r="G293" s="22" t="str">
        <f>SUBSTITUTE(A293,".","_")</f>
        <v>MM12_8</v>
      </c>
      <c r="H293" s="40"/>
    </row>
    <row r="294" spans="1:8" ht="40" customHeight="1">
      <c r="A294" s="22" t="s">
        <v>1679</v>
      </c>
      <c r="B294" s="72" t="str">
        <f>A294&amp;". Is this a reason why you do not use e-money, mobile money, or digital products and services? "&amp;Other!C35</f>
        <v>MM12.9. Is this a reason why you do not use e-money, mobile money, or digital products and services? Digital products and services are not available in your area</v>
      </c>
      <c r="C294" s="23" t="s">
        <v>125</v>
      </c>
      <c r="D294" s="22" t="s">
        <v>31</v>
      </c>
      <c r="E294" s="22">
        <v>1</v>
      </c>
      <c r="F294" s="108" t="s">
        <v>1670</v>
      </c>
      <c r="G294" s="22" t="str">
        <f>SUBSTITUTE(A294,".","_")</f>
        <v>MM12_9</v>
      </c>
    </row>
    <row r="295" spans="1:8" s="1" customFormat="1" ht="40" customHeight="1">
      <c r="A295" s="262" t="s">
        <v>1680</v>
      </c>
      <c r="B295" s="262"/>
      <c r="C295" s="262"/>
      <c r="D295" s="262"/>
      <c r="E295" s="262"/>
      <c r="F295" s="49" t="s">
        <v>1681</v>
      </c>
      <c r="G295" s="49"/>
      <c r="H295" s="43"/>
    </row>
    <row r="296" spans="1:8">
      <c r="A296" s="3" t="s">
        <v>2</v>
      </c>
      <c r="B296" s="4" t="s">
        <v>3</v>
      </c>
      <c r="C296" s="4" t="s">
        <v>4</v>
      </c>
      <c r="D296" s="3" t="s">
        <v>5</v>
      </c>
      <c r="E296" s="4" t="s">
        <v>6</v>
      </c>
      <c r="F296" s="4" t="s">
        <v>7</v>
      </c>
      <c r="G296" s="3" t="s">
        <v>8</v>
      </c>
    </row>
    <row r="297" spans="1:8" ht="28">
      <c r="A297" s="5" t="s">
        <v>1682</v>
      </c>
      <c r="B297" s="6" t="str">
        <f>A297&amp;". Is this a reason why you do not have a bank account? " &amp;Other!M2</f>
        <v>FF3.1. Is this a reason why you do not have a bank account? You don't have the required documents</v>
      </c>
      <c r="C297" s="6" t="s">
        <v>125</v>
      </c>
      <c r="D297" s="5" t="s">
        <v>31</v>
      </c>
      <c r="E297" s="5">
        <v>1</v>
      </c>
      <c r="F297" s="55" t="s">
        <v>1681</v>
      </c>
      <c r="G297" s="5" t="str">
        <f t="shared" ref="G297:G302" si="14">SUBSTITUTE(A297,".","_")</f>
        <v>FF3_1</v>
      </c>
    </row>
    <row r="298" spans="1:8" ht="28">
      <c r="A298" s="5" t="s">
        <v>1683</v>
      </c>
      <c r="B298" s="6" t="str">
        <f>A298&amp;". Is this a reason why you do not have a bank account? " &amp;Other!M3</f>
        <v>FF3.2. Is this a reason why you do not have a bank account? Fees and expenses for using banks are too high</v>
      </c>
      <c r="C298" s="6" t="s">
        <v>125</v>
      </c>
      <c r="D298" s="5" t="s">
        <v>31</v>
      </c>
      <c r="E298" s="5">
        <v>1</v>
      </c>
      <c r="F298" s="55" t="s">
        <v>1681</v>
      </c>
      <c r="G298" s="5" t="str">
        <f t="shared" si="14"/>
        <v>FF3_2</v>
      </c>
    </row>
    <row r="299" spans="1:8" ht="28">
      <c r="A299" s="5" t="s">
        <v>1684</v>
      </c>
      <c r="B299" s="6" t="str">
        <f>A299&amp;". Is this a reason why you do not have a bank account? " &amp;Other!M4</f>
        <v>FF3.3. Is this a reason why you do not have a bank account? You don't need a bank account</v>
      </c>
      <c r="C299" s="6" t="s">
        <v>125</v>
      </c>
      <c r="D299" s="5" t="s">
        <v>31</v>
      </c>
      <c r="E299" s="5">
        <v>1</v>
      </c>
      <c r="F299" s="55" t="s">
        <v>1681</v>
      </c>
      <c r="G299" s="5" t="str">
        <f t="shared" si="14"/>
        <v>FF3_3</v>
      </c>
    </row>
    <row r="300" spans="1:8" ht="28">
      <c r="A300" s="5" t="s">
        <v>1685</v>
      </c>
      <c r="B300" s="6" t="str">
        <f>A300&amp;". Is this a reason why you do not have a bank account? " &amp;Other!M5</f>
        <v>FF3.4. Is this a reason why you do not have a bank account? You don't trust banks</v>
      </c>
      <c r="C300" s="6" t="s">
        <v>125</v>
      </c>
      <c r="D300" s="5" t="s">
        <v>1686</v>
      </c>
      <c r="E300" s="5">
        <v>1</v>
      </c>
      <c r="F300" s="55" t="s">
        <v>1681</v>
      </c>
      <c r="G300" s="5" t="str">
        <f t="shared" si="14"/>
        <v>FF3_4</v>
      </c>
    </row>
    <row r="301" spans="1:8" ht="28">
      <c r="A301" s="5" t="s">
        <v>1687</v>
      </c>
      <c r="B301" s="6" t="str">
        <f>A301&amp;". Is this a reason why you do not have a bank account? " &amp;Other!M6</f>
        <v>FF3.5. Is this a reason why you do not have a bank account? The closest bank is too far away</v>
      </c>
      <c r="C301" s="6" t="s">
        <v>125</v>
      </c>
      <c r="D301" s="5" t="s">
        <v>31</v>
      </c>
      <c r="E301" s="5">
        <v>1</v>
      </c>
      <c r="F301" s="55" t="s">
        <v>1681</v>
      </c>
      <c r="G301" s="5" t="str">
        <f t="shared" si="14"/>
        <v>FF3_5</v>
      </c>
    </row>
    <row r="302" spans="1:8" s="111" customFormat="1" ht="25" customHeight="1">
      <c r="A302" s="5" t="s">
        <v>1688</v>
      </c>
      <c r="B302" s="6" t="str">
        <f>A302&amp;". Is this a reason why you do not have a bank account? " &amp;Other!M7</f>
        <v>FF3.6. Is this a reason why you do not have a bank account? You don't have enough money to use the account</v>
      </c>
      <c r="C302" s="6" t="s">
        <v>125</v>
      </c>
      <c r="D302" s="5" t="s">
        <v>31</v>
      </c>
      <c r="E302" s="5">
        <v>1</v>
      </c>
      <c r="F302" s="55" t="s">
        <v>1681</v>
      </c>
      <c r="G302" s="5" t="str">
        <f t="shared" si="14"/>
        <v>FF3_6</v>
      </c>
      <c r="H302" s="40"/>
    </row>
    <row r="303" spans="1:8" s="37" customFormat="1" ht="30" customHeight="1">
      <c r="A303" s="262" t="s">
        <v>1689</v>
      </c>
      <c r="B303" s="262"/>
      <c r="C303" s="262"/>
      <c r="D303" s="262"/>
      <c r="E303" s="262"/>
      <c r="F303" s="49" t="s">
        <v>13</v>
      </c>
      <c r="G303" s="49"/>
      <c r="H303" s="39"/>
    </row>
    <row r="304" spans="1:8" s="65" customFormat="1" ht="15">
      <c r="A304" s="3" t="s">
        <v>2</v>
      </c>
      <c r="B304" s="4" t="s">
        <v>3</v>
      </c>
      <c r="C304" s="4" t="s">
        <v>4</v>
      </c>
      <c r="D304" s="3" t="s">
        <v>5</v>
      </c>
      <c r="E304" s="4" t="s">
        <v>6</v>
      </c>
      <c r="F304" s="4" t="s">
        <v>7</v>
      </c>
      <c r="G304" s="3" t="s">
        <v>8</v>
      </c>
      <c r="H304" s="63"/>
    </row>
    <row r="305" spans="1:8" s="65" customFormat="1" ht="28">
      <c r="A305" s="9" t="s">
        <v>1690</v>
      </c>
      <c r="B305" s="6" t="str">
        <f>A305&amp;". Is your mobile phone linked to your bank account so that you can see on the phone how much money is in the account?"</f>
        <v>MFS1. Is your mobile phone linked to your bank account so that you can see on the phone how much money is in the account?</v>
      </c>
      <c r="C305" s="32" t="s">
        <v>95</v>
      </c>
      <c r="D305" s="9" t="s">
        <v>31</v>
      </c>
      <c r="E305" s="9">
        <v>1</v>
      </c>
      <c r="F305" s="55" t="s">
        <v>1691</v>
      </c>
      <c r="G305" s="9" t="str">
        <f t="shared" ref="G305:G311" si="15">SUBSTITUTE(A305,".","_")</f>
        <v>MFS1</v>
      </c>
      <c r="H305" s="63"/>
    </row>
    <row r="306" spans="1:8" s="65" customFormat="1" ht="28">
      <c r="A306" s="71" t="s">
        <v>1692</v>
      </c>
      <c r="B306" s="6" t="str">
        <f>A306&amp;". Have you ever used a smartphone app to make or receive a payment or transfer?"</f>
        <v>MFS2. Have you ever used a smartphone app to make or receive a payment or transfer?</v>
      </c>
      <c r="C306" s="32" t="s">
        <v>95</v>
      </c>
      <c r="D306" s="9" t="s">
        <v>31</v>
      </c>
      <c r="E306" s="9">
        <v>1</v>
      </c>
      <c r="F306" s="55" t="s">
        <v>167</v>
      </c>
      <c r="G306" s="9" t="str">
        <f t="shared" si="15"/>
        <v>MFS2</v>
      </c>
      <c r="H306" s="63"/>
    </row>
    <row r="307" spans="1:8" ht="42">
      <c r="A307" s="71" t="s">
        <v>1693</v>
      </c>
      <c r="B307" s="6" t="str">
        <f>A307&amp;". A QR code is a type of picture that is displayed in a shop or other location where people make payments or transfers. [Turn phone screen to respondent to show example QR code]."&amp;" Have you ever made a payment or transfer by using a mobile phone to scan a QR code?"</f>
        <v>MFS3. A QR code is a type of picture that is displayed in a shop or other location where people make payments or transfers. [Turn phone screen to respondent to show example QR code]. Have you ever made a payment or transfer by using a mobile phone to scan a QR code?</v>
      </c>
      <c r="C307" s="32" t="s">
        <v>95</v>
      </c>
      <c r="D307" s="9" t="s">
        <v>31</v>
      </c>
      <c r="E307" s="9">
        <v>1</v>
      </c>
      <c r="F307" s="112" t="s">
        <v>1694</v>
      </c>
      <c r="G307" s="9" t="str">
        <f t="shared" si="15"/>
        <v>MFS3</v>
      </c>
    </row>
    <row r="308" spans="1:8" s="65" customFormat="1" ht="28">
      <c r="A308" s="71" t="s">
        <v>1695</v>
      </c>
      <c r="B308" s="6" t="str">
        <f>A308&amp;". Have you ever used a mobile phone to get cash from a machine or ATM?"</f>
        <v>MFS4. Have you ever used a mobile phone to get cash from a machine or ATM?</v>
      </c>
      <c r="C308" s="6" t="s">
        <v>95</v>
      </c>
      <c r="D308" s="5" t="s">
        <v>31</v>
      </c>
      <c r="E308" s="5">
        <v>1</v>
      </c>
      <c r="F308" s="113" t="s">
        <v>13</v>
      </c>
      <c r="G308" s="9" t="str">
        <f t="shared" si="15"/>
        <v>MFS4</v>
      </c>
      <c r="H308" s="63"/>
    </row>
    <row r="309" spans="1:8" s="65" customFormat="1" ht="84">
      <c r="A309" s="71" t="s">
        <v>1696</v>
      </c>
      <c r="B309" s="67" t="str">
        <f>A309&amp;". When was the last time you used a smartphone app to make or receive a payment or transfer?"</f>
        <v>MFS5. When was the last time you used a smartphone app to make or receive a payment or transfer?</v>
      </c>
      <c r="C309" s="67" t="s">
        <v>1538</v>
      </c>
      <c r="D309" s="13" t="s">
        <v>31</v>
      </c>
      <c r="E309" s="13">
        <v>1</v>
      </c>
      <c r="F309" s="113" t="s">
        <v>1694</v>
      </c>
      <c r="G309" s="9" t="str">
        <f t="shared" si="15"/>
        <v>MFS5</v>
      </c>
      <c r="H309" s="63"/>
    </row>
    <row r="310" spans="1:8" s="65" customFormat="1" ht="84">
      <c r="A310" s="71" t="s">
        <v>1697</v>
      </c>
      <c r="B310" s="6" t="str">
        <f>A310&amp;". When was the last time you used a QR code to make a payment or transfer?"</f>
        <v>MFS6. When was the last time you used a QR code to make a payment or transfer?</v>
      </c>
      <c r="C310" s="67" t="s">
        <v>1538</v>
      </c>
      <c r="D310" s="9" t="s">
        <v>31</v>
      </c>
      <c r="E310" s="9">
        <v>1</v>
      </c>
      <c r="F310" s="113" t="s">
        <v>1698</v>
      </c>
      <c r="G310" s="9" t="str">
        <f t="shared" si="15"/>
        <v>MFS6</v>
      </c>
      <c r="H310" s="63"/>
    </row>
    <row r="311" spans="1:8" s="37" customFormat="1" ht="25" customHeight="1">
      <c r="A311" s="71" t="s">
        <v>1699</v>
      </c>
      <c r="B311" s="67" t="str">
        <f>A311&amp;". When was the last time you used a mobile phone to get cash from a machine or ATM?"</f>
        <v>MFS7. When was the last time you used a mobile phone to get cash from a machine or ATM?</v>
      </c>
      <c r="C311" s="67" t="s">
        <v>1538</v>
      </c>
      <c r="D311" s="13" t="s">
        <v>31</v>
      </c>
      <c r="E311" s="13">
        <v>1</v>
      </c>
      <c r="F311" s="113" t="s">
        <v>1700</v>
      </c>
      <c r="G311" s="9" t="str">
        <f t="shared" si="15"/>
        <v>MFS7</v>
      </c>
      <c r="H311" s="39"/>
    </row>
    <row r="312" spans="1:8" s="1" customFormat="1" ht="30" customHeight="1">
      <c r="A312" s="262" t="s">
        <v>1701</v>
      </c>
      <c r="B312" s="262"/>
      <c r="C312" s="262"/>
      <c r="D312" s="262"/>
      <c r="E312" s="262"/>
      <c r="F312" s="49" t="s">
        <v>13</v>
      </c>
      <c r="G312" s="49"/>
      <c r="H312" s="43"/>
    </row>
    <row r="313" spans="1:8" s="37" customFormat="1">
      <c r="A313" s="3" t="s">
        <v>2</v>
      </c>
      <c r="B313" s="4" t="s">
        <v>3</v>
      </c>
      <c r="C313" s="4" t="s">
        <v>4</v>
      </c>
      <c r="D313" s="3" t="s">
        <v>5</v>
      </c>
      <c r="E313" s="4" t="s">
        <v>6</v>
      </c>
      <c r="F313" s="4" t="s">
        <v>7</v>
      </c>
      <c r="G313" s="3" t="s">
        <v>8</v>
      </c>
      <c r="H313" s="39"/>
    </row>
    <row r="314" spans="1:8" s="37" customFormat="1" ht="28">
      <c r="A314" s="114" t="s">
        <v>1702</v>
      </c>
      <c r="B314" s="67" t="str">
        <f>A314&amp;". Have you ever "&amp;Activity!A5&amp;"?"</f>
        <v>AD1. Have you ever sent money to, or received money from someone?</v>
      </c>
      <c r="C314" s="67" t="s">
        <v>125</v>
      </c>
      <c r="D314" s="114" t="s">
        <v>31</v>
      </c>
      <c r="E314" s="114">
        <v>1</v>
      </c>
      <c r="F314" s="15" t="s">
        <v>13</v>
      </c>
      <c r="G314" s="9" t="str">
        <f t="shared" ref="G314:G338" si="16">SUBSTITUTE(A314,".","_")</f>
        <v>AD1</v>
      </c>
      <c r="H314" s="39"/>
    </row>
    <row r="315" spans="1:8" s="37" customFormat="1" ht="28">
      <c r="A315" s="115" t="s">
        <v>1703</v>
      </c>
      <c r="B315" s="67" t="str">
        <f>A315&amp;". Have you ever sent money to, or received money from someone using "&amp;Institution!B2&amp;"?"</f>
        <v>AD1.1. Have you ever sent money to, or received money from someone using a bank?</v>
      </c>
      <c r="C315" s="67" t="s">
        <v>125</v>
      </c>
      <c r="D315" s="114" t="s">
        <v>31</v>
      </c>
      <c r="E315" s="114">
        <v>1</v>
      </c>
      <c r="F315" s="15" t="s">
        <v>1704</v>
      </c>
      <c r="G315" s="9" t="str">
        <f t="shared" si="16"/>
        <v>AD1_1</v>
      </c>
      <c r="H315" s="39"/>
    </row>
    <row r="316" spans="1:8" s="37" customFormat="1" ht="28">
      <c r="A316" s="115" t="s">
        <v>1705</v>
      </c>
      <c r="B316" s="69" t="str">
        <f>A316&amp;". Have you ever sent money to, or received money from someone using "&amp;Institution!B3&amp;"?"</f>
        <v>AD1.2. Have you ever sent money to, or received money from someone using a smartphone app?</v>
      </c>
      <c r="C316" s="67" t="s">
        <v>125</v>
      </c>
      <c r="D316" s="114" t="s">
        <v>31</v>
      </c>
      <c r="E316" s="114">
        <v>1</v>
      </c>
      <c r="F316" s="51" t="s">
        <v>1706</v>
      </c>
      <c r="G316" s="9" t="str">
        <f t="shared" si="16"/>
        <v>AD1_2</v>
      </c>
      <c r="H316" s="39"/>
    </row>
    <row r="317" spans="1:8" s="37" customFormat="1" ht="28">
      <c r="A317" s="115" t="s">
        <v>1707</v>
      </c>
      <c r="B317" s="67" t="str">
        <f>A317&amp;". Have you ever sent money to, or received money from someone using "&amp;Institution!B4&amp;"?"</f>
        <v>AD1.3. Have you ever sent money to, or received money from someone using Pos Indonesia?</v>
      </c>
      <c r="C317" s="67" t="s">
        <v>125</v>
      </c>
      <c r="D317" s="114" t="s">
        <v>31</v>
      </c>
      <c r="E317" s="114">
        <v>1</v>
      </c>
      <c r="F317" s="51" t="s">
        <v>1708</v>
      </c>
      <c r="G317" s="9" t="str">
        <f t="shared" si="16"/>
        <v>AD1_3</v>
      </c>
      <c r="H317" s="39"/>
    </row>
    <row r="318" spans="1:8" s="37" customFormat="1" ht="28">
      <c r="A318" s="115" t="s">
        <v>1709</v>
      </c>
      <c r="B318" s="67" t="str">
        <f>A318&amp;". Have you ever sent money to, or received money from someone using "&amp;Institution!B5&amp;"?"</f>
        <v>AD1.4. Have you ever sent money to, or received money from someone using a mobile money service?</v>
      </c>
      <c r="C318" s="67" t="s">
        <v>125</v>
      </c>
      <c r="D318" s="114" t="s">
        <v>31</v>
      </c>
      <c r="E318" s="114">
        <v>1</v>
      </c>
      <c r="F318" s="51" t="s">
        <v>1710</v>
      </c>
      <c r="G318" s="9" t="str">
        <f t="shared" si="16"/>
        <v>AD1_4</v>
      </c>
      <c r="H318" s="39"/>
    </row>
    <row r="319" spans="1:8" s="37" customFormat="1" ht="28">
      <c r="A319" s="115" t="s">
        <v>1711</v>
      </c>
      <c r="B319" s="67" t="str">
        <f>A319&amp;". Have you ever sent money to, or received money from someone using "&amp;Institution!B6&amp;"?"</f>
        <v>AD1.5. Have you ever sent money to, or received money from someone using digital financial services (LKD) and/or Laku Pandai?</v>
      </c>
      <c r="C319" s="67" t="s">
        <v>125</v>
      </c>
      <c r="D319" s="114" t="s">
        <v>31</v>
      </c>
      <c r="E319" s="114">
        <v>1</v>
      </c>
      <c r="F319" s="51" t="s">
        <v>1712</v>
      </c>
      <c r="G319" s="9" t="str">
        <f t="shared" si="16"/>
        <v>AD1_5</v>
      </c>
      <c r="H319" s="39"/>
    </row>
    <row r="320" spans="1:8" s="37" customFormat="1" ht="28">
      <c r="A320" s="115" t="s">
        <v>1713</v>
      </c>
      <c r="B320" s="67" t="str">
        <f>A320&amp;". Have you ever sent money to, or received money from someone using "&amp;Institution!B7&amp;"?"</f>
        <v>AD1.6. Have you ever sent money to, or received money from someone using a Bank Perkreditan Rakyat (BPR)?</v>
      </c>
      <c r="C320" s="67" t="s">
        <v>125</v>
      </c>
      <c r="D320" s="114" t="s">
        <v>31</v>
      </c>
      <c r="E320" s="114">
        <v>1</v>
      </c>
      <c r="F320" s="51" t="s">
        <v>1714</v>
      </c>
      <c r="G320" s="9" t="str">
        <f t="shared" si="16"/>
        <v>AD1_6</v>
      </c>
      <c r="H320" s="39"/>
    </row>
    <row r="321" spans="1:8" s="37" customFormat="1" ht="28">
      <c r="A321" s="115" t="s">
        <v>1715</v>
      </c>
      <c r="B321" s="67" t="str">
        <f>A321&amp;". Have you ever sent money to, or received money from someone using "&amp;Institution!B8&amp;"?"</f>
        <v>AD1.7. Have you ever sent money to, or received money from someone using a koperasi (BMT, Credit Union, KSP), ventura or lembaga keungan mikro (LKM)?</v>
      </c>
      <c r="C321" s="67" t="s">
        <v>125</v>
      </c>
      <c r="D321" s="114" t="s">
        <v>31</v>
      </c>
      <c r="E321" s="114">
        <v>1</v>
      </c>
      <c r="F321" s="51" t="s">
        <v>1716</v>
      </c>
      <c r="G321" s="9" t="str">
        <f t="shared" si="16"/>
        <v>AD1_7</v>
      </c>
      <c r="H321" s="39"/>
    </row>
    <row r="322" spans="1:8" s="37" customFormat="1" ht="28">
      <c r="A322" s="115" t="s">
        <v>1717</v>
      </c>
      <c r="B322" s="67" t="str">
        <f>A322&amp;". Have you ever sent money to, or received money from someone using "&amp;Institution!B9&amp;"?"</f>
        <v>AD1.8. Have you ever sent money to, or received money from someone using a Baitul Maal wat Tamwil (BMT)?</v>
      </c>
      <c r="C322" s="67" t="s">
        <v>125</v>
      </c>
      <c r="D322" s="114" t="s">
        <v>31</v>
      </c>
      <c r="E322" s="114">
        <v>1</v>
      </c>
      <c r="F322" s="15" t="s">
        <v>1718</v>
      </c>
      <c r="G322" s="9" t="str">
        <f t="shared" si="16"/>
        <v>AD1_8</v>
      </c>
      <c r="H322" s="39"/>
    </row>
    <row r="323" spans="1:8" s="37" customFormat="1" ht="28">
      <c r="A323" s="115" t="s">
        <v>1719</v>
      </c>
      <c r="B323" s="67" t="str">
        <f>A323&amp;". Have you ever sent money to, or received money from someone using "&amp;Institution!B11&amp;"?"</f>
        <v>AD1.10. Have you ever sent money to, or received money from someone using an e-money card?</v>
      </c>
      <c r="C323" s="67" t="s">
        <v>125</v>
      </c>
      <c r="D323" s="114" t="s">
        <v>31</v>
      </c>
      <c r="E323" s="114">
        <v>1</v>
      </c>
      <c r="F323" s="51" t="s">
        <v>1720</v>
      </c>
      <c r="G323" s="9" t="str">
        <f t="shared" si="16"/>
        <v>AD1_10</v>
      </c>
      <c r="H323" s="39"/>
    </row>
    <row r="324" spans="1:8" s="37" customFormat="1" ht="28">
      <c r="A324" s="115" t="s">
        <v>1721</v>
      </c>
      <c r="B324" s="67" t="str">
        <f>A324&amp;". Have you ever sent money to, or received money from someone using "&amp;Institution!B12&amp;"?"</f>
        <v>AD1.11. Have you ever sent money to, or received money from someone using a debit or credit card?</v>
      </c>
      <c r="C324" s="67" t="s">
        <v>125</v>
      </c>
      <c r="D324" s="114" t="s">
        <v>31</v>
      </c>
      <c r="E324" s="114">
        <v>1</v>
      </c>
      <c r="F324" s="116" t="s">
        <v>1722</v>
      </c>
      <c r="G324" s="9" t="str">
        <f t="shared" si="16"/>
        <v>AD1_11</v>
      </c>
      <c r="H324" s="39"/>
    </row>
    <row r="325" spans="1:8" s="37" customFormat="1" ht="28">
      <c r="A325" s="115" t="s">
        <v>1723</v>
      </c>
      <c r="B325" s="67" t="str">
        <f>A325&amp;". Have you ever sent money to, or received money from someone using "&amp;Institution!B13&amp;"?"</f>
        <v>AD1.12. Have you ever sent money to, or received money from someone using a money transfer agent?</v>
      </c>
      <c r="C325" s="67" t="s">
        <v>125</v>
      </c>
      <c r="D325" s="114" t="s">
        <v>31</v>
      </c>
      <c r="E325" s="114">
        <v>1</v>
      </c>
      <c r="F325" s="51" t="s">
        <v>1724</v>
      </c>
      <c r="G325" s="9" t="str">
        <f t="shared" si="16"/>
        <v>AD1_12</v>
      </c>
      <c r="H325" s="39"/>
    </row>
    <row r="326" spans="1:8" s="37" customFormat="1" ht="28">
      <c r="A326" s="115" t="s">
        <v>1725</v>
      </c>
      <c r="B326" s="67" t="str">
        <f>A326&amp;". Have you ever sent money to, or received money from someone using "&amp;Institution!B14&amp;"?"</f>
        <v>AD1.13. Have you ever sent money to, or received money from someone using in cash by public or private transportation?</v>
      </c>
      <c r="C326" s="67" t="s">
        <v>125</v>
      </c>
      <c r="D326" s="114" t="s">
        <v>31</v>
      </c>
      <c r="E326" s="114">
        <v>1</v>
      </c>
      <c r="F326" s="51" t="s">
        <v>1724</v>
      </c>
      <c r="G326" s="9" t="str">
        <f t="shared" si="16"/>
        <v>AD1_13</v>
      </c>
      <c r="H326" s="39"/>
    </row>
    <row r="327" spans="1:8" s="37" customFormat="1" ht="84">
      <c r="A327" s="115" t="s">
        <v>1726</v>
      </c>
      <c r="B327" s="67" t="str">
        <f>A327&amp;". When was the last time you sent money to, or received money from someone using "&amp;Institution!B2&amp;"?"</f>
        <v>AD1.14. When was the last time you sent money to, or received money from someone using a bank?</v>
      </c>
      <c r="C327" s="6" t="s">
        <v>1538</v>
      </c>
      <c r="D327" s="114" t="s">
        <v>31</v>
      </c>
      <c r="E327" s="114">
        <v>1</v>
      </c>
      <c r="F327" s="51" t="s">
        <v>1727</v>
      </c>
      <c r="G327" s="9" t="str">
        <f t="shared" si="16"/>
        <v>AD1_14</v>
      </c>
      <c r="H327" s="39"/>
    </row>
    <row r="328" spans="1:8" s="37" customFormat="1" ht="84">
      <c r="A328" s="115" t="s">
        <v>1728</v>
      </c>
      <c r="B328" s="69" t="str">
        <f>A328&amp;". When was the last time you sent money to, or received money from someone using "&amp;Institution!B3&amp;"?"</f>
        <v>AD1.15. When was the last time you sent money to, or received money from someone using a smartphone app?</v>
      </c>
      <c r="C328" s="6" t="s">
        <v>1538</v>
      </c>
      <c r="D328" s="114" t="s">
        <v>31</v>
      </c>
      <c r="E328" s="114">
        <v>1</v>
      </c>
      <c r="F328" s="51" t="s">
        <v>1729</v>
      </c>
      <c r="G328" s="9" t="str">
        <f>SUBSTITUTE(A328,".","_")</f>
        <v>AD1_15</v>
      </c>
      <c r="H328" s="39"/>
    </row>
    <row r="329" spans="1:8" s="37" customFormat="1" ht="84">
      <c r="A329" s="115" t="s">
        <v>1730</v>
      </c>
      <c r="B329" s="67" t="str">
        <f>A329&amp;". When was the last time you sent money to, or received money from someone using "&amp;Institution!B4&amp;"?"</f>
        <v>AD1.16. When was the last time you sent money to, or received money from someone using Pos Indonesia?</v>
      </c>
      <c r="C329" s="6" t="s">
        <v>1538</v>
      </c>
      <c r="D329" s="114" t="s">
        <v>31</v>
      </c>
      <c r="E329" s="114">
        <v>1</v>
      </c>
      <c r="F329" s="51" t="s">
        <v>1731</v>
      </c>
      <c r="G329" s="9" t="str">
        <f t="shared" si="16"/>
        <v>AD1_16</v>
      </c>
      <c r="H329" s="39"/>
    </row>
    <row r="330" spans="1:8" s="37" customFormat="1" ht="84">
      <c r="A330" s="115" t="s">
        <v>1732</v>
      </c>
      <c r="B330" s="67" t="str">
        <f>A330&amp;". When was the last time you sent money to, or received money from someone using "&amp;Institution!B5&amp;"?"</f>
        <v>AD1.17. When was the last time you sent money to, or received money from someone using a mobile money service?</v>
      </c>
      <c r="C330" s="6" t="s">
        <v>1538</v>
      </c>
      <c r="D330" s="114" t="s">
        <v>31</v>
      </c>
      <c r="E330" s="114">
        <v>1</v>
      </c>
      <c r="F330" s="51" t="s">
        <v>1733</v>
      </c>
      <c r="G330" s="9" t="str">
        <f t="shared" si="16"/>
        <v>AD1_17</v>
      </c>
      <c r="H330" s="39"/>
    </row>
    <row r="331" spans="1:8" s="37" customFormat="1" ht="84">
      <c r="A331" s="115" t="s">
        <v>1734</v>
      </c>
      <c r="B331" s="67" t="str">
        <f>A331&amp;". When was the last time you sent money to, or received money from someone using "&amp;Institution!B6&amp;"?"</f>
        <v>AD1.18. When was the last time you sent money to, or received money from someone using digital financial services (LKD) and/or Laku Pandai?</v>
      </c>
      <c r="C331" s="6" t="s">
        <v>1538</v>
      </c>
      <c r="D331" s="114" t="s">
        <v>31</v>
      </c>
      <c r="E331" s="114">
        <v>1</v>
      </c>
      <c r="F331" s="51" t="s">
        <v>1735</v>
      </c>
      <c r="G331" s="9" t="str">
        <f t="shared" si="16"/>
        <v>AD1_18</v>
      </c>
      <c r="H331" s="39"/>
    </row>
    <row r="332" spans="1:8" s="37" customFormat="1" ht="84">
      <c r="A332" s="115" t="s">
        <v>1736</v>
      </c>
      <c r="B332" s="67" t="str">
        <f>A332&amp;". When was the last time you sent money to, or received money from someone using "&amp;Institution!B7&amp;"?"</f>
        <v>AD1.19. When was the last time you sent money to, or received money from someone using a Bank Perkreditan Rakyat (BPR)?</v>
      </c>
      <c r="C332" s="6" t="s">
        <v>1538</v>
      </c>
      <c r="D332" s="114" t="s">
        <v>31</v>
      </c>
      <c r="E332" s="114">
        <v>1</v>
      </c>
      <c r="F332" s="51" t="s">
        <v>1737</v>
      </c>
      <c r="G332" s="9" t="str">
        <f t="shared" si="16"/>
        <v>AD1_19</v>
      </c>
      <c r="H332" s="39"/>
    </row>
    <row r="333" spans="1:8" s="37" customFormat="1" ht="84">
      <c r="A333" s="115" t="s">
        <v>1738</v>
      </c>
      <c r="B333" s="67" t="str">
        <f>A333&amp;". When was the last time you sent money to, or received money from someone using "&amp;Institution!B8&amp;"?"</f>
        <v>AD1.20. When was the last time you sent money to, or received money from someone using a koperasi (BMT, Credit Union, KSP), ventura or lembaga keungan mikro (LKM)?</v>
      </c>
      <c r="C333" s="6" t="s">
        <v>1538</v>
      </c>
      <c r="D333" s="114" t="s">
        <v>31</v>
      </c>
      <c r="E333" s="114">
        <v>1</v>
      </c>
      <c r="F333" s="51" t="s">
        <v>1739</v>
      </c>
      <c r="G333" s="9" t="str">
        <f t="shared" si="16"/>
        <v>AD1_20</v>
      </c>
      <c r="H333" s="39"/>
    </row>
    <row r="334" spans="1:8" s="37" customFormat="1" ht="84">
      <c r="A334" s="115" t="s">
        <v>1740</v>
      </c>
      <c r="B334" s="67" t="str">
        <f>A334&amp;". When was the last time you sent money to, or received money from someone using "&amp;Institution!B9&amp;"?"</f>
        <v>AD1.21. When was the last time you sent money to, or received money from someone using a Baitul Maal wat Tamwil (BMT)?</v>
      </c>
      <c r="C334" s="6" t="s">
        <v>1538</v>
      </c>
      <c r="D334" s="114" t="s">
        <v>31</v>
      </c>
      <c r="E334" s="114">
        <v>1</v>
      </c>
      <c r="F334" s="51" t="s">
        <v>1741</v>
      </c>
      <c r="G334" s="9" t="str">
        <f t="shared" si="16"/>
        <v>AD1_21</v>
      </c>
      <c r="H334" s="39"/>
    </row>
    <row r="335" spans="1:8" s="37" customFormat="1" ht="84">
      <c r="A335" s="115" t="s">
        <v>1742</v>
      </c>
      <c r="B335" s="67" t="str">
        <f>A335&amp;". When was the last time you sent money to, or received money from someone using "&amp;Institution!B11&amp;"?"</f>
        <v>AD1.23. When was the last time you sent money to, or received money from someone using an e-money card?</v>
      </c>
      <c r="C335" s="6" t="s">
        <v>1538</v>
      </c>
      <c r="D335" s="114" t="s">
        <v>31</v>
      </c>
      <c r="E335" s="114">
        <v>1</v>
      </c>
      <c r="F335" s="51" t="s">
        <v>1743</v>
      </c>
      <c r="G335" s="9" t="str">
        <f t="shared" si="16"/>
        <v>AD1_23</v>
      </c>
      <c r="H335" s="39"/>
    </row>
    <row r="336" spans="1:8" s="37" customFormat="1" ht="84">
      <c r="A336" s="115" t="s">
        <v>1744</v>
      </c>
      <c r="B336" s="67" t="str">
        <f>A336&amp;". When was the last time you sent money to, or received money from someone using "&amp;Institution!B12&amp;"?"</f>
        <v>AD1.24. When was the last time you sent money to, or received money from someone using a debit or credit card?</v>
      </c>
      <c r="C336" s="46" t="s">
        <v>1538</v>
      </c>
      <c r="D336" s="115" t="s">
        <v>31</v>
      </c>
      <c r="E336" s="115">
        <v>1</v>
      </c>
      <c r="F336" s="51" t="s">
        <v>1743</v>
      </c>
      <c r="G336" s="9" t="str">
        <f t="shared" si="16"/>
        <v>AD1_24</v>
      </c>
      <c r="H336" s="39"/>
    </row>
    <row r="337" spans="1:8" s="37" customFormat="1" ht="84">
      <c r="A337" s="115" t="s">
        <v>1745</v>
      </c>
      <c r="B337" s="67" t="str">
        <f>A337&amp;". When was the last time you sent money to, or received money from someone using "&amp;Institution!B13&amp;"?"</f>
        <v>AD1.25. When was the last time you sent money to, or received money from someone using a money transfer agent?</v>
      </c>
      <c r="C337" s="46" t="s">
        <v>1538</v>
      </c>
      <c r="D337" s="115" t="s">
        <v>31</v>
      </c>
      <c r="E337" s="115">
        <v>1</v>
      </c>
      <c r="F337" s="51" t="s">
        <v>1746</v>
      </c>
      <c r="G337" s="9" t="str">
        <f t="shared" si="16"/>
        <v>AD1_25</v>
      </c>
      <c r="H337" s="39"/>
    </row>
    <row r="338" spans="1:8" s="37" customFormat="1" ht="25" customHeight="1">
      <c r="A338" s="115" t="s">
        <v>1747</v>
      </c>
      <c r="B338" s="67" t="str">
        <f>A338&amp;". When was the last time you sent money to, or received money from someone using "&amp;Institution!B14&amp;"?"</f>
        <v>AD1.26. When was the last time you sent money to, or received money from someone using in cash by public or private transportation?</v>
      </c>
      <c r="C338" s="46" t="s">
        <v>1538</v>
      </c>
      <c r="D338" s="115" t="s">
        <v>31</v>
      </c>
      <c r="E338" s="115">
        <v>1</v>
      </c>
      <c r="F338" s="51" t="s">
        <v>1748</v>
      </c>
      <c r="G338" s="9" t="str">
        <f t="shared" si="16"/>
        <v>AD1_26</v>
      </c>
      <c r="H338" s="39"/>
    </row>
    <row r="339" spans="1:8" s="37" customFormat="1" ht="30" customHeight="1">
      <c r="A339" s="262" t="s">
        <v>1749</v>
      </c>
      <c r="B339" s="262"/>
      <c r="C339" s="262"/>
      <c r="D339" s="262"/>
      <c r="E339" s="262"/>
      <c r="F339" s="49" t="s">
        <v>13</v>
      </c>
      <c r="G339" s="49"/>
      <c r="H339" s="39"/>
    </row>
    <row r="340" spans="1:8" s="37" customFormat="1" ht="28">
      <c r="A340" s="114" t="s">
        <v>1750</v>
      </c>
      <c r="B340" s="67" t="str">
        <f>A340&amp;". Have you ever paid for goods or services using "&amp;Institution!C2&amp;"?"</f>
        <v>AD2.1. Have you ever paid for goods or services using a bank?</v>
      </c>
      <c r="C340" s="67" t="s">
        <v>125</v>
      </c>
      <c r="D340" s="114" t="s">
        <v>31</v>
      </c>
      <c r="E340" s="114">
        <v>1</v>
      </c>
      <c r="F340" s="15" t="s">
        <v>1751</v>
      </c>
      <c r="G340" s="9" t="str">
        <f t="shared" ref="G340:G365" si="17">SUBSTITUTE(A340,".","_")</f>
        <v>AD2_1</v>
      </c>
      <c r="H340" s="39"/>
    </row>
    <row r="341" spans="1:8" s="37" customFormat="1" ht="28">
      <c r="A341" s="115" t="s">
        <v>1752</v>
      </c>
      <c r="B341" s="69" t="str">
        <f>A341&amp;". Have you ever paid for goods or services using "&amp;Institution!C3&amp;"?"</f>
        <v>AD2.2. Have you ever paid for goods or services using a smartphone app?</v>
      </c>
      <c r="C341" s="117" t="s">
        <v>125</v>
      </c>
      <c r="D341" s="115" t="s">
        <v>31</v>
      </c>
      <c r="E341" s="115">
        <v>1</v>
      </c>
      <c r="F341" s="51" t="s">
        <v>1694</v>
      </c>
      <c r="G341" s="83" t="str">
        <f t="shared" si="17"/>
        <v>AD2_2</v>
      </c>
      <c r="H341" s="39"/>
    </row>
    <row r="342" spans="1:8" s="37" customFormat="1" ht="28">
      <c r="A342" s="118" t="s">
        <v>1753</v>
      </c>
      <c r="B342" s="67" t="str">
        <f>A342&amp;". Have you ever paid for goods or services using "&amp;Institution!C4&amp;"?"</f>
        <v>AD2.3. Have you ever paid for goods or services using a mobile money service?</v>
      </c>
      <c r="C342" s="67" t="s">
        <v>125</v>
      </c>
      <c r="D342" s="114" t="s">
        <v>31</v>
      </c>
      <c r="E342" s="114">
        <v>1</v>
      </c>
      <c r="F342" s="51" t="s">
        <v>1754</v>
      </c>
      <c r="G342" s="9" t="str">
        <f t="shared" si="17"/>
        <v>AD2_3</v>
      </c>
      <c r="H342" s="39"/>
    </row>
    <row r="343" spans="1:8" s="37" customFormat="1" ht="28">
      <c r="A343" s="118" t="s">
        <v>1755</v>
      </c>
      <c r="B343" s="67" t="str">
        <f>A343&amp;". Have you ever paid for goods or services using "&amp;Institution!C5&amp;"?"</f>
        <v>AD2.4. Have you ever paid for goods or services using digital financial services (LKD) and/or Laku Pandai?</v>
      </c>
      <c r="C343" s="67" t="s">
        <v>125</v>
      </c>
      <c r="D343" s="114" t="s">
        <v>31</v>
      </c>
      <c r="E343" s="114">
        <v>1</v>
      </c>
      <c r="F343" s="51" t="s">
        <v>1641</v>
      </c>
      <c r="G343" s="9" t="str">
        <f t="shared" si="17"/>
        <v>AD2_4</v>
      </c>
      <c r="H343" s="39"/>
    </row>
    <row r="344" spans="1:8" s="37" customFormat="1" ht="28">
      <c r="A344" s="118" t="s">
        <v>1756</v>
      </c>
      <c r="B344" s="67" t="str">
        <f>A344&amp;". Have you ever paid for goods or services using "&amp;Institution!C6&amp;"?"</f>
        <v>AD2.5. Have you ever paid for goods or services using a Bank Perkreditan Rakyat (BPR)?</v>
      </c>
      <c r="C344" s="67" t="s">
        <v>125</v>
      </c>
      <c r="D344" s="114" t="s">
        <v>31</v>
      </c>
      <c r="E344" s="114">
        <v>1</v>
      </c>
      <c r="F344" s="51" t="s">
        <v>1757</v>
      </c>
      <c r="G344" s="9" t="str">
        <f t="shared" si="17"/>
        <v>AD2_5</v>
      </c>
      <c r="H344" s="39"/>
    </row>
    <row r="345" spans="1:8" s="37" customFormat="1" ht="28">
      <c r="A345" s="118" t="s">
        <v>1758</v>
      </c>
      <c r="B345" s="67" t="str">
        <f>A345&amp;". Have you ever paid for goods or services using "&amp;Institution!C7&amp;"?"</f>
        <v>AD2.6. Have you ever paid for goods or services using a koperasi (BMT, Credit Union, KSP), ventura or lembaga keungan mikro (LKM)?</v>
      </c>
      <c r="C345" s="67" t="s">
        <v>125</v>
      </c>
      <c r="D345" s="114" t="s">
        <v>31</v>
      </c>
      <c r="E345" s="114">
        <v>1</v>
      </c>
      <c r="F345" s="51" t="s">
        <v>1759</v>
      </c>
      <c r="G345" s="9" t="str">
        <f t="shared" si="17"/>
        <v>AD2_6</v>
      </c>
      <c r="H345" s="39"/>
    </row>
    <row r="346" spans="1:8" s="37" customFormat="1" ht="28">
      <c r="A346" s="118" t="s">
        <v>1760</v>
      </c>
      <c r="B346" s="67" t="str">
        <f>A346&amp;". Have you ever paid for goods or services using "&amp;Institution!C8&amp;"?"</f>
        <v>AD2.7. Have you ever paid for goods or services using a Baitul Maal wat Tamwil (BMT)?</v>
      </c>
      <c r="C346" s="67" t="s">
        <v>125</v>
      </c>
      <c r="D346" s="114" t="s">
        <v>31</v>
      </c>
      <c r="E346" s="114">
        <v>1</v>
      </c>
      <c r="F346" s="51" t="s">
        <v>1761</v>
      </c>
      <c r="G346" s="9" t="str">
        <f t="shared" si="17"/>
        <v>AD2_7</v>
      </c>
      <c r="H346" s="39"/>
    </row>
    <row r="347" spans="1:8" s="37" customFormat="1" ht="30">
      <c r="A347" s="118" t="s">
        <v>1762</v>
      </c>
      <c r="B347" s="67" t="str">
        <f>A347&amp;". Have you ever paid for goods or services using "&amp;Institution!C9&amp;"?"</f>
        <v>AD2.8. Have you ever paid for goods or services using a pawnshop?</v>
      </c>
      <c r="C347" s="67" t="s">
        <v>125</v>
      </c>
      <c r="D347" s="114" t="s">
        <v>31</v>
      </c>
      <c r="E347" s="114">
        <v>1</v>
      </c>
      <c r="F347" s="51" t="s">
        <v>1763</v>
      </c>
      <c r="G347" s="9" t="str">
        <f t="shared" si="17"/>
        <v>AD2_8</v>
      </c>
      <c r="H347" s="39" t="s">
        <v>1764</v>
      </c>
    </row>
    <row r="348" spans="1:8" s="37" customFormat="1" ht="28">
      <c r="A348" s="118" t="s">
        <v>1765</v>
      </c>
      <c r="B348" s="67" t="str">
        <f>A348&amp;". Have you ever paid for goods or services using "&amp;Institution!C10&amp;"?"</f>
        <v>AD2.9. Have you ever paid for goods or services using an e-money card?</v>
      </c>
      <c r="C348" s="67" t="s">
        <v>125</v>
      </c>
      <c r="D348" s="114" t="s">
        <v>31</v>
      </c>
      <c r="E348" s="114">
        <v>1</v>
      </c>
      <c r="F348" s="51" t="s">
        <v>1582</v>
      </c>
      <c r="G348" s="9" t="str">
        <f t="shared" si="17"/>
        <v>AD2_9</v>
      </c>
      <c r="H348" s="39"/>
    </row>
    <row r="349" spans="1:8" s="37" customFormat="1" ht="28">
      <c r="A349" s="118" t="s">
        <v>1766</v>
      </c>
      <c r="B349" s="67" t="str">
        <f>A349&amp;". Have you ever paid for goods or services using "&amp;Institution!C11&amp;"?"</f>
        <v>AD2.10. Have you ever paid for goods or services using a debit or credit card?</v>
      </c>
      <c r="C349" s="67" t="s">
        <v>125</v>
      </c>
      <c r="D349" s="114" t="s">
        <v>31</v>
      </c>
      <c r="E349" s="114">
        <v>1</v>
      </c>
      <c r="F349" s="116" t="s">
        <v>1767</v>
      </c>
      <c r="G349" s="9" t="str">
        <f t="shared" si="17"/>
        <v>AD2_10</v>
      </c>
      <c r="H349" s="39"/>
    </row>
    <row r="350" spans="1:8" s="37" customFormat="1" ht="28">
      <c r="A350" s="118" t="s">
        <v>1768</v>
      </c>
      <c r="B350" s="67" t="str">
        <f>A350&amp;". Have you ever paid for goods or services using "&amp;Institution!C12&amp;"?"</f>
        <v>AD2.11. Have you ever paid for goods or services using cash?</v>
      </c>
      <c r="C350" s="67" t="s">
        <v>125</v>
      </c>
      <c r="D350" s="114" t="s">
        <v>31</v>
      </c>
      <c r="E350" s="114">
        <v>1</v>
      </c>
      <c r="F350" s="51" t="s">
        <v>13</v>
      </c>
      <c r="G350" s="9" t="str">
        <f t="shared" si="17"/>
        <v>AD2_11</v>
      </c>
      <c r="H350" s="39"/>
    </row>
    <row r="351" spans="1:8" s="37" customFormat="1" ht="84">
      <c r="A351" s="118" t="s">
        <v>1769</v>
      </c>
      <c r="B351" s="67" t="str">
        <f>A351&amp;". When was the last time you paid for goods or services using "&amp;Institution!C2&amp;"?"</f>
        <v>AD2.12. When was the last time you paid for goods or services using a bank?</v>
      </c>
      <c r="C351" s="6" t="s">
        <v>1538</v>
      </c>
      <c r="D351" s="114" t="s">
        <v>31</v>
      </c>
      <c r="E351" s="114">
        <v>1</v>
      </c>
      <c r="F351" s="15" t="s">
        <v>1770</v>
      </c>
      <c r="G351" s="9" t="str">
        <f t="shared" si="17"/>
        <v>AD2_12</v>
      </c>
      <c r="H351" s="39"/>
    </row>
    <row r="352" spans="1:8" s="37" customFormat="1" ht="84">
      <c r="A352" s="118" t="s">
        <v>1771</v>
      </c>
      <c r="B352" s="69" t="str">
        <f>A352&amp;". When was the last time you paid for goods or services using "&amp;Institution!C3&amp;"?"</f>
        <v>AD2.13. When was the last time you paid for goods or services using a smartphone app?</v>
      </c>
      <c r="C352" s="46" t="s">
        <v>1538</v>
      </c>
      <c r="D352" s="115" t="s">
        <v>31</v>
      </c>
      <c r="E352" s="115">
        <v>1</v>
      </c>
      <c r="F352" s="51" t="s">
        <v>1772</v>
      </c>
      <c r="G352" s="83" t="str">
        <f t="shared" si="17"/>
        <v>AD2_13</v>
      </c>
      <c r="H352" s="39"/>
    </row>
    <row r="353" spans="1:23" s="37" customFormat="1" ht="84">
      <c r="A353" s="118" t="s">
        <v>1773</v>
      </c>
      <c r="B353" s="67" t="str">
        <f>A353&amp;". When was the last time you paid for goods or services using "&amp;Institution!C4&amp;"?"</f>
        <v>AD2.14. When was the last time you paid for goods or services using a mobile money service?</v>
      </c>
      <c r="C353" s="6" t="s">
        <v>1538</v>
      </c>
      <c r="D353" s="114" t="s">
        <v>31</v>
      </c>
      <c r="E353" s="114">
        <v>1</v>
      </c>
      <c r="F353" s="116" t="s">
        <v>1774</v>
      </c>
      <c r="G353" s="9" t="str">
        <f t="shared" si="17"/>
        <v>AD2_14</v>
      </c>
      <c r="H353" s="39"/>
    </row>
    <row r="354" spans="1:23" s="65" customFormat="1" ht="84">
      <c r="A354" s="118" t="s">
        <v>1775</v>
      </c>
      <c r="B354" s="67" t="str">
        <f>A354&amp;". When was the last time you paid for goods or services using "&amp;Institution!C5&amp;"?"</f>
        <v>AD2.15. When was the last time you paid for goods or services using digital financial services (LKD) and/or Laku Pandai?</v>
      </c>
      <c r="C354" s="6" t="s">
        <v>1538</v>
      </c>
      <c r="D354" s="114" t="s">
        <v>31</v>
      </c>
      <c r="E354" s="114">
        <v>1</v>
      </c>
      <c r="F354" s="116" t="s">
        <v>1776</v>
      </c>
      <c r="G354" s="9" t="str">
        <f t="shared" si="17"/>
        <v>AD2_15</v>
      </c>
      <c r="H354" s="63"/>
      <c r="I354" s="64"/>
      <c r="J354" s="64"/>
      <c r="K354" s="64"/>
      <c r="L354" s="64"/>
      <c r="M354" s="64"/>
      <c r="N354" s="64"/>
      <c r="O354" s="64"/>
      <c r="P354" s="64"/>
      <c r="Q354" s="64"/>
      <c r="R354" s="64"/>
      <c r="S354" s="64"/>
      <c r="T354" s="64"/>
      <c r="U354" s="64"/>
      <c r="V354" s="64"/>
      <c r="W354" s="64"/>
    </row>
    <row r="355" spans="1:23" s="65" customFormat="1" ht="84">
      <c r="A355" s="118" t="s">
        <v>1777</v>
      </c>
      <c r="B355" s="67" t="str">
        <f>A355&amp;". When was the last time you paid for goods or services using "&amp;Institution!C6&amp;"?"</f>
        <v>AD2.16. When was the last time you paid for goods or services using a Bank Perkreditan Rakyat (BPR)?</v>
      </c>
      <c r="C355" s="6" t="s">
        <v>1538</v>
      </c>
      <c r="D355" s="114" t="s">
        <v>31</v>
      </c>
      <c r="E355" s="114">
        <v>1</v>
      </c>
      <c r="F355" s="116" t="s">
        <v>1778</v>
      </c>
      <c r="G355" s="9" t="str">
        <f t="shared" si="17"/>
        <v>AD2_16</v>
      </c>
      <c r="H355" s="63"/>
      <c r="I355" s="64"/>
      <c r="J355" s="64"/>
      <c r="K355" s="64"/>
      <c r="L355" s="64"/>
      <c r="M355" s="64"/>
      <c r="N355" s="64"/>
      <c r="O355" s="64"/>
      <c r="P355" s="64"/>
      <c r="Q355" s="64"/>
      <c r="R355" s="64"/>
      <c r="S355" s="64"/>
      <c r="T355" s="64"/>
      <c r="U355" s="64"/>
      <c r="V355" s="64"/>
      <c r="W355" s="64"/>
    </row>
    <row r="356" spans="1:23" s="65" customFormat="1" ht="84">
      <c r="A356" s="118" t="s">
        <v>1779</v>
      </c>
      <c r="B356" s="67" t="str">
        <f>A356&amp;". When was the last time you paid for goods or services using "&amp;Institution!C7&amp;"?"</f>
        <v>AD2.17. When was the last time you paid for goods or services using a koperasi (BMT, Credit Union, KSP), ventura or lembaga keungan mikro (LKM)?</v>
      </c>
      <c r="C356" s="6" t="s">
        <v>1538</v>
      </c>
      <c r="D356" s="114" t="s">
        <v>31</v>
      </c>
      <c r="E356" s="114">
        <v>1</v>
      </c>
      <c r="F356" s="116" t="s">
        <v>1780</v>
      </c>
      <c r="G356" s="9" t="str">
        <f t="shared" si="17"/>
        <v>AD2_17</v>
      </c>
      <c r="H356" s="63"/>
      <c r="I356" s="64"/>
      <c r="J356" s="64"/>
      <c r="K356" s="64"/>
      <c r="L356" s="64"/>
      <c r="M356" s="64"/>
      <c r="N356" s="64"/>
      <c r="O356" s="64"/>
      <c r="P356" s="64"/>
      <c r="Q356" s="64"/>
      <c r="R356" s="64"/>
      <c r="S356" s="64"/>
      <c r="T356" s="64"/>
      <c r="U356" s="64"/>
      <c r="V356" s="64"/>
      <c r="W356" s="64"/>
    </row>
    <row r="357" spans="1:23" s="65" customFormat="1" ht="84">
      <c r="A357" s="118" t="s">
        <v>1781</v>
      </c>
      <c r="B357" s="67" t="str">
        <f>A357&amp;". When was the last time you paid for goods or services using "&amp;Institution!C8&amp;"?"</f>
        <v>AD2.18. When was the last time you paid for goods or services using a Baitul Maal wat Tamwil (BMT)?</v>
      </c>
      <c r="C357" s="6" t="s">
        <v>1538</v>
      </c>
      <c r="D357" s="114" t="s">
        <v>31</v>
      </c>
      <c r="E357" s="114">
        <v>1</v>
      </c>
      <c r="F357" s="116" t="s">
        <v>1782</v>
      </c>
      <c r="G357" s="5" t="str">
        <f t="shared" si="17"/>
        <v>AD2_18</v>
      </c>
      <c r="H357" s="63"/>
      <c r="I357" s="64"/>
      <c r="J357" s="64"/>
      <c r="K357" s="64"/>
      <c r="L357" s="64"/>
      <c r="M357" s="64"/>
      <c r="N357" s="64"/>
      <c r="O357" s="64"/>
      <c r="P357" s="64"/>
      <c r="Q357" s="64"/>
      <c r="R357" s="64"/>
      <c r="S357" s="64"/>
      <c r="T357" s="64"/>
      <c r="U357" s="64"/>
      <c r="V357" s="64"/>
      <c r="W357" s="64"/>
    </row>
    <row r="358" spans="1:23" s="65" customFormat="1" ht="84">
      <c r="A358" s="118" t="s">
        <v>1783</v>
      </c>
      <c r="B358" s="67" t="str">
        <f>A358&amp;". When was the last time you paid for goods or services using "&amp;Institution!C9&amp;"?"</f>
        <v>AD2.19. When was the last time you paid for goods or services using a pawnshop?</v>
      </c>
      <c r="C358" s="6" t="s">
        <v>1538</v>
      </c>
      <c r="D358" s="114" t="s">
        <v>31</v>
      </c>
      <c r="E358" s="114">
        <v>1</v>
      </c>
      <c r="F358" s="116" t="s">
        <v>1784</v>
      </c>
      <c r="G358" s="5" t="str">
        <f t="shared" si="17"/>
        <v>AD2_19</v>
      </c>
      <c r="H358" s="63" t="s">
        <v>1785</v>
      </c>
      <c r="I358" s="64"/>
      <c r="J358" s="64"/>
      <c r="K358" s="64"/>
      <c r="L358" s="64"/>
      <c r="M358" s="64"/>
      <c r="N358" s="64"/>
      <c r="O358" s="64"/>
      <c r="P358" s="64"/>
      <c r="Q358" s="64"/>
      <c r="R358" s="64"/>
      <c r="S358" s="64"/>
      <c r="T358" s="64"/>
      <c r="U358" s="64"/>
      <c r="V358" s="64"/>
      <c r="W358" s="64"/>
    </row>
    <row r="359" spans="1:23" s="65" customFormat="1" ht="84">
      <c r="A359" s="118" t="s">
        <v>1786</v>
      </c>
      <c r="B359" s="67" t="str">
        <f>A359&amp;". When was the last time you paid for goods or services using "&amp;Institution!C10&amp;"?"</f>
        <v>AD2.20. When was the last time you paid for goods or services using an e-money card?</v>
      </c>
      <c r="C359" s="6" t="s">
        <v>1538</v>
      </c>
      <c r="D359" s="114" t="s">
        <v>31</v>
      </c>
      <c r="E359" s="114">
        <v>1</v>
      </c>
      <c r="F359" s="116" t="s">
        <v>1787</v>
      </c>
      <c r="G359" s="5" t="str">
        <f t="shared" si="17"/>
        <v>AD2_20</v>
      </c>
      <c r="H359" s="63"/>
      <c r="I359" s="64"/>
      <c r="J359" s="64"/>
      <c r="K359" s="64"/>
      <c r="L359" s="64"/>
      <c r="M359" s="64"/>
      <c r="N359" s="64"/>
      <c r="O359" s="64"/>
      <c r="P359" s="64"/>
      <c r="Q359" s="64"/>
      <c r="R359" s="64"/>
      <c r="S359" s="64"/>
      <c r="T359" s="64"/>
      <c r="U359" s="64"/>
      <c r="V359" s="64"/>
      <c r="W359" s="64"/>
    </row>
    <row r="360" spans="1:23" s="65" customFormat="1" ht="84">
      <c r="A360" s="118" t="s">
        <v>1788</v>
      </c>
      <c r="B360" s="67" t="str">
        <f>A360&amp;". When was the last time you paid for goods or services using "&amp;Institution!C11&amp;"?"</f>
        <v>AD2.21. When was the last time you paid for goods or services using a debit or credit card?</v>
      </c>
      <c r="C360" s="6" t="s">
        <v>1538</v>
      </c>
      <c r="D360" s="114" t="s">
        <v>31</v>
      </c>
      <c r="E360" s="114">
        <v>1</v>
      </c>
      <c r="F360" s="116" t="s">
        <v>1789</v>
      </c>
      <c r="G360" s="5" t="str">
        <f t="shared" si="17"/>
        <v>AD2_21</v>
      </c>
      <c r="H360" s="63"/>
      <c r="I360" s="64"/>
      <c r="J360" s="64"/>
      <c r="K360" s="64"/>
      <c r="L360" s="64"/>
      <c r="M360" s="64"/>
      <c r="N360" s="64"/>
      <c r="O360" s="64"/>
      <c r="P360" s="64"/>
      <c r="Q360" s="64"/>
      <c r="R360" s="64"/>
      <c r="S360" s="64"/>
      <c r="T360" s="64"/>
      <c r="U360" s="64"/>
      <c r="V360" s="64"/>
      <c r="W360" s="64"/>
    </row>
    <row r="361" spans="1:23" s="65" customFormat="1" ht="84">
      <c r="A361" s="118" t="s">
        <v>1790</v>
      </c>
      <c r="B361" s="67" t="str">
        <f>A361&amp;". When was the last time you paid for goods or services using "&amp;Institution!C12&amp;"?"</f>
        <v>AD2.22. When was the last time you paid for goods or services using cash?</v>
      </c>
      <c r="C361" s="46" t="s">
        <v>1538</v>
      </c>
      <c r="D361" s="114" t="s">
        <v>31</v>
      </c>
      <c r="E361" s="114">
        <v>1</v>
      </c>
      <c r="F361" s="116" t="s">
        <v>1791</v>
      </c>
      <c r="G361" s="5" t="str">
        <f t="shared" si="17"/>
        <v>AD2_22</v>
      </c>
      <c r="H361" s="63"/>
      <c r="I361" s="64"/>
      <c r="J361" s="64"/>
      <c r="K361" s="64"/>
      <c r="L361" s="64"/>
      <c r="M361" s="64"/>
      <c r="N361" s="64"/>
      <c r="O361" s="64"/>
      <c r="P361" s="64"/>
      <c r="Q361" s="64"/>
      <c r="R361" s="64"/>
      <c r="S361" s="64"/>
      <c r="T361" s="64"/>
      <c r="U361" s="64"/>
      <c r="V361" s="64"/>
      <c r="W361" s="64"/>
    </row>
    <row r="362" spans="1:23" s="65" customFormat="1" ht="84">
      <c r="A362" s="118" t="s">
        <v>1792</v>
      </c>
      <c r="B362" s="67" t="str">
        <f>A362&amp;". Thinking about the places where you usually shop, about how many merchants accept the following type of cashless payment? a credit or debit card"</f>
        <v>AD2.23. Thinking about the places where you usually shop, about how many merchants accept the following type of cashless payment? a credit or debit card</v>
      </c>
      <c r="C362" s="6" t="s">
        <v>1793</v>
      </c>
      <c r="D362" s="114" t="s">
        <v>31</v>
      </c>
      <c r="E362" s="114">
        <v>2</v>
      </c>
      <c r="F362" s="15" t="s">
        <v>13</v>
      </c>
      <c r="G362" s="5" t="str">
        <f t="shared" si="17"/>
        <v>AD2_23</v>
      </c>
      <c r="H362" s="63"/>
      <c r="I362" s="64"/>
      <c r="J362" s="64"/>
      <c r="K362" s="64"/>
      <c r="L362" s="64"/>
      <c r="M362" s="64"/>
      <c r="N362" s="64"/>
      <c r="O362" s="64"/>
      <c r="P362" s="64"/>
      <c r="Q362" s="64"/>
      <c r="R362" s="64"/>
      <c r="S362" s="64"/>
      <c r="T362" s="64"/>
      <c r="U362" s="64"/>
      <c r="V362" s="64"/>
      <c r="W362" s="64"/>
    </row>
    <row r="363" spans="1:23" s="65" customFormat="1" ht="84">
      <c r="A363" s="118" t="s">
        <v>1794</v>
      </c>
      <c r="B363" s="67" t="str">
        <f>A363&amp;". Thinking about the places where you usually shop, about how many merchants accept the following type of cashless payment? An e-money card"</f>
        <v>AD2.24. Thinking about the places where you usually shop, about how many merchants accept the following type of cashless payment? An e-money card</v>
      </c>
      <c r="C363" s="6" t="s">
        <v>1793</v>
      </c>
      <c r="D363" s="114" t="s">
        <v>31</v>
      </c>
      <c r="E363" s="114">
        <v>2</v>
      </c>
      <c r="F363" s="15" t="s">
        <v>13</v>
      </c>
      <c r="G363" s="5" t="str">
        <f t="shared" si="17"/>
        <v>AD2_24</v>
      </c>
      <c r="H363" s="63" t="s">
        <v>1795</v>
      </c>
      <c r="I363" s="64"/>
      <c r="J363" s="64"/>
      <c r="K363" s="64"/>
      <c r="L363" s="64"/>
      <c r="M363" s="64"/>
      <c r="N363" s="64"/>
      <c r="O363" s="64"/>
      <c r="P363" s="64"/>
      <c r="Q363" s="64"/>
      <c r="R363" s="64"/>
      <c r="S363" s="64"/>
      <c r="T363" s="64"/>
      <c r="U363" s="64"/>
      <c r="V363" s="64"/>
      <c r="W363" s="64"/>
    </row>
    <row r="364" spans="1:23" s="65" customFormat="1" ht="84">
      <c r="A364" s="118" t="s">
        <v>1796</v>
      </c>
      <c r="B364" s="67" t="str">
        <f>A364&amp;". Thinking about the places where you usually shop, about how many merchants accept the following type of cashless payment? Mobile money"</f>
        <v>AD2.25. Thinking about the places where you usually shop, about how many merchants accept the following type of cashless payment? Mobile money</v>
      </c>
      <c r="C364" s="6" t="s">
        <v>1793</v>
      </c>
      <c r="D364" s="114" t="s">
        <v>31</v>
      </c>
      <c r="E364" s="114">
        <v>2</v>
      </c>
      <c r="F364" s="15" t="s">
        <v>13</v>
      </c>
      <c r="G364" s="5" t="str">
        <f t="shared" si="17"/>
        <v>AD2_25</v>
      </c>
      <c r="H364" s="63" t="s">
        <v>1795</v>
      </c>
      <c r="I364" s="64"/>
      <c r="J364" s="64"/>
      <c r="K364" s="64"/>
      <c r="L364" s="64"/>
      <c r="M364" s="64"/>
      <c r="N364" s="64"/>
      <c r="O364" s="64"/>
      <c r="P364" s="64"/>
      <c r="Q364" s="64"/>
      <c r="R364" s="64"/>
      <c r="S364" s="64"/>
      <c r="T364" s="64"/>
      <c r="U364" s="64"/>
      <c r="V364" s="64"/>
      <c r="W364" s="64"/>
    </row>
    <row r="365" spans="1:23" ht="55.5" customHeight="1">
      <c r="A365" s="118" t="s">
        <v>1797</v>
      </c>
      <c r="B365" s="67" t="str">
        <f>A365&amp;" Thinking about the places where you usually shop, about how many merchants accept only cash?"</f>
        <v>AD2.26 Thinking about the places where you usually shop, about how many merchants accept only cash?</v>
      </c>
      <c r="C365" s="6" t="s">
        <v>1793</v>
      </c>
      <c r="D365" s="114" t="s">
        <v>31</v>
      </c>
      <c r="E365" s="114">
        <v>2</v>
      </c>
      <c r="F365" s="15" t="s">
        <v>13</v>
      </c>
      <c r="G365" s="5" t="str">
        <f t="shared" si="17"/>
        <v>AD2_26</v>
      </c>
      <c r="I365" s="12"/>
      <c r="J365" s="12"/>
      <c r="K365" s="12"/>
      <c r="L365" s="12"/>
      <c r="M365" s="12"/>
      <c r="N365" s="12"/>
      <c r="O365" s="12"/>
      <c r="P365" s="12"/>
      <c r="Q365" s="12"/>
      <c r="R365" s="12"/>
      <c r="S365" s="12"/>
      <c r="T365" s="12"/>
      <c r="U365" s="12"/>
      <c r="V365" s="12"/>
      <c r="W365" s="12"/>
    </row>
    <row r="366" spans="1:23" s="37" customFormat="1" ht="50" customHeight="1">
      <c r="A366" s="262" t="s">
        <v>1798</v>
      </c>
      <c r="B366" s="262"/>
      <c r="C366" s="262"/>
      <c r="D366" s="262"/>
      <c r="E366" s="262"/>
      <c r="F366" s="49" t="s">
        <v>13</v>
      </c>
      <c r="G366" s="49"/>
      <c r="H366" s="39"/>
    </row>
    <row r="367" spans="1:23" s="37" customFormat="1" ht="28">
      <c r="A367" s="114" t="s">
        <v>1799</v>
      </c>
      <c r="B367" s="67" t="str">
        <f>A367&amp;". Have you ever "&amp;Activity!A3&amp;"?"</f>
        <v>AD3. Have you ever paid a bill for medical treatment, housing, trash collection, electricity, water, solar, television or any other bill?</v>
      </c>
      <c r="C367" s="67" t="s">
        <v>125</v>
      </c>
      <c r="D367" s="114" t="s">
        <v>31</v>
      </c>
      <c r="E367" s="114">
        <v>1</v>
      </c>
      <c r="F367" s="15" t="s">
        <v>13</v>
      </c>
      <c r="G367" s="9" t="str">
        <f t="shared" ref="G367:G390" si="18">SUBSTITUTE(A367,".","_")</f>
        <v>AD3</v>
      </c>
      <c r="H367" s="39"/>
    </row>
    <row r="368" spans="1:23" s="37" customFormat="1" ht="28">
      <c r="A368" s="114" t="s">
        <v>1800</v>
      </c>
      <c r="B368" s="67" t="str">
        <f>A368&amp;". Have you ever paid a bill using "&amp;Institution!D2&amp;"?"</f>
        <v>AD3.1. Have you ever paid a bill using a bank?</v>
      </c>
      <c r="C368" s="67" t="s">
        <v>125</v>
      </c>
      <c r="D368" s="114" t="s">
        <v>31</v>
      </c>
      <c r="E368" s="114">
        <v>1</v>
      </c>
      <c r="F368" s="15" t="s">
        <v>1801</v>
      </c>
      <c r="G368" s="9" t="str">
        <f t="shared" si="18"/>
        <v>AD3_1</v>
      </c>
      <c r="H368" s="39"/>
    </row>
    <row r="369" spans="1:8" s="37" customFormat="1" ht="28">
      <c r="A369" s="115" t="s">
        <v>1802</v>
      </c>
      <c r="B369" s="69" t="str">
        <f>A369&amp;". Have you ever paid a bill using "&amp;Institution!D3&amp;"?"</f>
        <v>AD3.2. Have you ever paid a bill using a smartphone app?</v>
      </c>
      <c r="C369" s="117" t="s">
        <v>125</v>
      </c>
      <c r="D369" s="115" t="s">
        <v>31</v>
      </c>
      <c r="E369" s="115">
        <v>1</v>
      </c>
      <c r="F369" s="51" t="s">
        <v>1803</v>
      </c>
      <c r="G369" s="83" t="str">
        <f t="shared" si="18"/>
        <v>AD3_2</v>
      </c>
      <c r="H369" s="39"/>
    </row>
    <row r="370" spans="1:8" s="37" customFormat="1" ht="28">
      <c r="A370" s="115" t="s">
        <v>1804</v>
      </c>
      <c r="B370" s="67" t="str">
        <f>A370&amp;". Have you ever paid a bill using "&amp;Institution!D4&amp;"?"</f>
        <v>AD3.3. Have you ever paid a bill using Pos Indonesia?</v>
      </c>
      <c r="C370" s="67" t="s">
        <v>125</v>
      </c>
      <c r="D370" s="114" t="s">
        <v>31</v>
      </c>
      <c r="E370" s="114">
        <v>1</v>
      </c>
      <c r="F370" s="51" t="s">
        <v>1805</v>
      </c>
      <c r="G370" s="9" t="str">
        <f t="shared" si="18"/>
        <v>AD3_3</v>
      </c>
      <c r="H370" s="39"/>
    </row>
    <row r="371" spans="1:8" s="37" customFormat="1" ht="28">
      <c r="A371" s="115" t="s">
        <v>1806</v>
      </c>
      <c r="B371" s="67" t="str">
        <f>A371&amp;". Have you ever paid a bill using "&amp;Institution!D5&amp;"?"</f>
        <v>AD3.4. Have you ever paid a bill using a mobile money service?</v>
      </c>
      <c r="C371" s="67" t="s">
        <v>125</v>
      </c>
      <c r="D371" s="114" t="s">
        <v>31</v>
      </c>
      <c r="E371" s="114">
        <v>1</v>
      </c>
      <c r="F371" s="15" t="s">
        <v>1807</v>
      </c>
      <c r="G371" s="9" t="str">
        <f t="shared" si="18"/>
        <v>AD3_4</v>
      </c>
      <c r="H371" s="39"/>
    </row>
    <row r="372" spans="1:8" s="37" customFormat="1" ht="30">
      <c r="A372" s="115" t="s">
        <v>1808</v>
      </c>
      <c r="B372" s="67" t="str">
        <f>A372&amp;". Have you ever paid a bill using "&amp;Institution!D6&amp;"?"</f>
        <v>AD3.5. Have you ever paid a bill using digital financial services (LKD) and/or Laku Pandai?</v>
      </c>
      <c r="C372" s="67" t="s">
        <v>125</v>
      </c>
      <c r="D372" s="114" t="s">
        <v>31</v>
      </c>
      <c r="E372" s="114">
        <v>1</v>
      </c>
      <c r="F372" s="51" t="s">
        <v>1809</v>
      </c>
      <c r="G372" s="9" t="str">
        <f t="shared" si="18"/>
        <v>AD3_5</v>
      </c>
      <c r="H372" s="39" t="s">
        <v>1810</v>
      </c>
    </row>
    <row r="373" spans="1:8" s="37" customFormat="1" ht="28">
      <c r="A373" s="115" t="s">
        <v>1811</v>
      </c>
      <c r="B373" s="67" t="str">
        <f>A373&amp;". Have you ever paid a bill using "&amp;Institution!D7&amp;"?"</f>
        <v>AD3.6. Have you ever paid a bill using a Bank Perkreditan Rakyat (BPR)?</v>
      </c>
      <c r="C373" s="67" t="s">
        <v>125</v>
      </c>
      <c r="D373" s="114" t="s">
        <v>31</v>
      </c>
      <c r="E373" s="114">
        <v>1</v>
      </c>
      <c r="F373" s="51" t="s">
        <v>1812</v>
      </c>
      <c r="G373" s="9" t="str">
        <f t="shared" si="18"/>
        <v>AD3_6</v>
      </c>
      <c r="H373" s="39"/>
    </row>
    <row r="374" spans="1:8" s="37" customFormat="1" ht="28">
      <c r="A374" s="115" t="s">
        <v>1813</v>
      </c>
      <c r="B374" s="67" t="str">
        <f>A374&amp;". Have you ever paid a bill using "&amp;Institution!D8&amp;"?"</f>
        <v>AD3.7. Have you ever paid a bill using a koperasi (BMT, Credit Union, KSP), ventura or lembaga keungan mikro (LKM)?</v>
      </c>
      <c r="C374" s="67" t="s">
        <v>125</v>
      </c>
      <c r="D374" s="114" t="s">
        <v>31</v>
      </c>
      <c r="E374" s="114">
        <v>1</v>
      </c>
      <c r="F374" s="51" t="s">
        <v>1814</v>
      </c>
      <c r="G374" s="9" t="str">
        <f t="shared" si="18"/>
        <v>AD3_7</v>
      </c>
      <c r="H374" s="39"/>
    </row>
    <row r="375" spans="1:8" s="37" customFormat="1" ht="28">
      <c r="A375" s="115" t="s">
        <v>1815</v>
      </c>
      <c r="B375" s="67" t="str">
        <f>A375&amp;". Have you ever paid a bill using "&amp;Institution!D9&amp;"?"</f>
        <v>AD3.8. Have you ever paid a bill using a Baitul Maal wat Tamwil (BMT)?</v>
      </c>
      <c r="C375" s="67" t="s">
        <v>125</v>
      </c>
      <c r="D375" s="114" t="s">
        <v>31</v>
      </c>
      <c r="E375" s="114">
        <v>1</v>
      </c>
      <c r="F375" s="51" t="s">
        <v>1816</v>
      </c>
      <c r="G375" s="9" t="str">
        <f t="shared" si="18"/>
        <v>AD3_8</v>
      </c>
      <c r="H375" s="39"/>
    </row>
    <row r="376" spans="1:8" s="37" customFormat="1" ht="28">
      <c r="A376" s="115" t="s">
        <v>1817</v>
      </c>
      <c r="B376" s="67" t="str">
        <f>A376&amp;". Have you ever paid a bill using "&amp;Institution!D11&amp;"?"</f>
        <v>AD3.10. Have you ever paid a bill using an e-money card?</v>
      </c>
      <c r="C376" s="67" t="s">
        <v>125</v>
      </c>
      <c r="D376" s="114" t="s">
        <v>31</v>
      </c>
      <c r="E376" s="114">
        <v>1</v>
      </c>
      <c r="F376" s="51" t="s">
        <v>1818</v>
      </c>
      <c r="G376" s="9" t="str">
        <f t="shared" si="18"/>
        <v>AD3_10</v>
      </c>
      <c r="H376" s="39"/>
    </row>
    <row r="377" spans="1:8" s="37" customFormat="1" ht="28">
      <c r="A377" s="115" t="s">
        <v>1819</v>
      </c>
      <c r="B377" s="67" t="str">
        <f>A377&amp;". Have you ever paid a bill using "&amp;Institution!D12&amp;"?"</f>
        <v>AD3.11. Have you ever paid a bill using a debit or credit card?</v>
      </c>
      <c r="C377" s="67" t="s">
        <v>125</v>
      </c>
      <c r="D377" s="114" t="s">
        <v>31</v>
      </c>
      <c r="E377" s="114">
        <v>1</v>
      </c>
      <c r="F377" s="116" t="s">
        <v>1820</v>
      </c>
      <c r="G377" s="9" t="str">
        <f t="shared" si="18"/>
        <v>AD3_11</v>
      </c>
      <c r="H377" s="39"/>
    </row>
    <row r="378" spans="1:8" s="37" customFormat="1" ht="28">
      <c r="A378" s="115" t="s">
        <v>1821</v>
      </c>
      <c r="B378" s="67" t="str">
        <f>A378&amp;". Have you ever paid a bill using "&amp;Institution!D13&amp;"?"</f>
        <v>AD3.12. Have you ever paid a bill using cash?</v>
      </c>
      <c r="C378" s="67" t="s">
        <v>125</v>
      </c>
      <c r="D378" s="114" t="s">
        <v>31</v>
      </c>
      <c r="E378" s="114">
        <v>1</v>
      </c>
      <c r="F378" s="51" t="s">
        <v>1822</v>
      </c>
      <c r="G378" s="9" t="str">
        <f t="shared" si="18"/>
        <v>AD3_12</v>
      </c>
      <c r="H378" s="39"/>
    </row>
    <row r="379" spans="1:8" s="37" customFormat="1" ht="84">
      <c r="A379" s="115" t="s">
        <v>1823</v>
      </c>
      <c r="B379" s="67" t="str">
        <f>A379&amp;". When was the last time you paid a bill using "&amp;Institution!D2&amp;"?"</f>
        <v>AD3.13. When was the last time you paid a bill using a bank?</v>
      </c>
      <c r="C379" s="6" t="s">
        <v>1538</v>
      </c>
      <c r="D379" s="114" t="s">
        <v>31</v>
      </c>
      <c r="E379" s="114">
        <v>1</v>
      </c>
      <c r="F379" s="51" t="s">
        <v>1824</v>
      </c>
      <c r="G379" s="9" t="str">
        <f t="shared" si="18"/>
        <v>AD3_13</v>
      </c>
      <c r="H379" s="39"/>
    </row>
    <row r="380" spans="1:8" s="37" customFormat="1" ht="84">
      <c r="A380" s="115" t="s">
        <v>1825</v>
      </c>
      <c r="B380" s="69" t="str">
        <f>A380&amp;". When was the last time you paid a bill using "&amp;Institution!D3&amp;"?"</f>
        <v>AD3.14. When was the last time you paid a bill using a smartphone app?</v>
      </c>
      <c r="C380" s="6" t="s">
        <v>1538</v>
      </c>
      <c r="D380" s="114" t="s">
        <v>31</v>
      </c>
      <c r="E380" s="114">
        <v>1</v>
      </c>
      <c r="F380" s="51" t="s">
        <v>1826</v>
      </c>
      <c r="G380" s="9" t="str">
        <f>SUBSTITUTE(A380,".","_")</f>
        <v>AD3_14</v>
      </c>
      <c r="H380" s="39"/>
    </row>
    <row r="381" spans="1:8" s="37" customFormat="1" ht="84">
      <c r="A381" s="115" t="s">
        <v>1827</v>
      </c>
      <c r="B381" s="67" t="str">
        <f>A381&amp;". When was the last time you paid a bill using "&amp;Institution!D4&amp;"?"</f>
        <v>AD3.15. When was the last time you paid a bill using Pos Indonesia?</v>
      </c>
      <c r="C381" s="6" t="s">
        <v>1538</v>
      </c>
      <c r="D381" s="114" t="s">
        <v>31</v>
      </c>
      <c r="E381" s="114">
        <v>1</v>
      </c>
      <c r="F381" s="51" t="s">
        <v>1828</v>
      </c>
      <c r="G381" s="9" t="str">
        <f t="shared" si="18"/>
        <v>AD3_15</v>
      </c>
      <c r="H381" s="39"/>
    </row>
    <row r="382" spans="1:8" s="37" customFormat="1" ht="84">
      <c r="A382" s="115" t="s">
        <v>1829</v>
      </c>
      <c r="B382" s="67" t="str">
        <f>A382&amp;". When was the last time you paid a bill using "&amp;Institution!D5&amp;"?"</f>
        <v>AD3.16. When was the last time you paid a bill using a mobile money service?</v>
      </c>
      <c r="C382" s="6" t="s">
        <v>1538</v>
      </c>
      <c r="D382" s="114" t="s">
        <v>31</v>
      </c>
      <c r="E382" s="114">
        <v>1</v>
      </c>
      <c r="F382" s="51" t="s">
        <v>1830</v>
      </c>
      <c r="G382" s="9" t="str">
        <f t="shared" si="18"/>
        <v>AD3_16</v>
      </c>
      <c r="H382" s="39"/>
    </row>
    <row r="383" spans="1:8" s="37" customFormat="1" ht="84">
      <c r="A383" s="115" t="s">
        <v>1831</v>
      </c>
      <c r="B383" s="67" t="str">
        <f>A383&amp;". When was the last time you paid a bill using "&amp;Institution!D6&amp;"?"</f>
        <v>AD3.17. When was the last time you paid a bill using digital financial services (LKD) and/or Laku Pandai?</v>
      </c>
      <c r="C383" s="6" t="s">
        <v>1538</v>
      </c>
      <c r="D383" s="114" t="s">
        <v>31</v>
      </c>
      <c r="E383" s="114">
        <v>1</v>
      </c>
      <c r="F383" s="51" t="s">
        <v>1832</v>
      </c>
      <c r="G383" s="9" t="str">
        <f t="shared" si="18"/>
        <v>AD3_17</v>
      </c>
      <c r="H383" s="39"/>
    </row>
    <row r="384" spans="1:8" s="37" customFormat="1" ht="84">
      <c r="A384" s="115" t="s">
        <v>1833</v>
      </c>
      <c r="B384" s="67" t="str">
        <f>A384&amp;". When was the last time you paid a bill using "&amp;Institution!D7&amp;"?"</f>
        <v>AD3.18. When was the last time you paid a bill using a Bank Perkreditan Rakyat (BPR)?</v>
      </c>
      <c r="C384" s="6" t="s">
        <v>1538</v>
      </c>
      <c r="D384" s="114" t="s">
        <v>31</v>
      </c>
      <c r="E384" s="114">
        <v>1</v>
      </c>
      <c r="F384" s="51" t="s">
        <v>1834</v>
      </c>
      <c r="G384" s="9" t="str">
        <f t="shared" si="18"/>
        <v>AD3_18</v>
      </c>
      <c r="H384" s="39"/>
    </row>
    <row r="385" spans="1:23" s="37" customFormat="1" ht="84">
      <c r="A385" s="115" t="s">
        <v>1835</v>
      </c>
      <c r="B385" s="67" t="str">
        <f>A385&amp;". When was the last time you paid a bill using "&amp;Institution!D8&amp;"?"</f>
        <v>AD3.19. When was the last time you paid a bill using a koperasi (BMT, Credit Union, KSP), ventura or lembaga keungan mikro (LKM)?</v>
      </c>
      <c r="C385" s="6" t="s">
        <v>1538</v>
      </c>
      <c r="D385" s="114" t="s">
        <v>31</v>
      </c>
      <c r="E385" s="114">
        <v>1</v>
      </c>
      <c r="F385" s="51" t="s">
        <v>1836</v>
      </c>
      <c r="G385" s="9" t="str">
        <f t="shared" si="18"/>
        <v>AD3_19</v>
      </c>
      <c r="H385" s="39"/>
    </row>
    <row r="386" spans="1:23" s="37" customFormat="1" ht="84">
      <c r="A386" s="115" t="s">
        <v>1837</v>
      </c>
      <c r="B386" s="67" t="str">
        <f>A386&amp;". When was the last time you paid a bill using "&amp;Institution!D9&amp;"?"</f>
        <v>AD3.20. When was the last time you paid a bill using a Baitul Maal wat Tamwil (BMT)?</v>
      </c>
      <c r="C386" s="6" t="s">
        <v>1538</v>
      </c>
      <c r="D386" s="114" t="s">
        <v>31</v>
      </c>
      <c r="E386" s="114">
        <v>1</v>
      </c>
      <c r="F386" s="51" t="s">
        <v>1838</v>
      </c>
      <c r="G386" s="9" t="str">
        <f t="shared" si="18"/>
        <v>AD3_20</v>
      </c>
      <c r="H386" s="39"/>
    </row>
    <row r="387" spans="1:23" s="37" customFormat="1" ht="84">
      <c r="A387" s="115" t="s">
        <v>1839</v>
      </c>
      <c r="B387" s="67" t="str">
        <f>A387&amp;". When was the last time you paid a bill using "&amp;Institution!D11&amp;"?"</f>
        <v>AD3.22. When was the last time you paid a bill using an e-money card?</v>
      </c>
      <c r="C387" s="6" t="s">
        <v>1538</v>
      </c>
      <c r="D387" s="114" t="s">
        <v>31</v>
      </c>
      <c r="E387" s="114">
        <v>1</v>
      </c>
      <c r="F387" s="51" t="s">
        <v>1840</v>
      </c>
      <c r="G387" s="9" t="str">
        <f t="shared" si="18"/>
        <v>AD3_22</v>
      </c>
      <c r="H387" s="39"/>
    </row>
    <row r="388" spans="1:23" s="37" customFormat="1" ht="84">
      <c r="A388" s="115" t="s">
        <v>1841</v>
      </c>
      <c r="B388" s="67" t="str">
        <f>A388&amp;". When was the last time you paid a bill using "&amp;Institution!D12&amp;"?"</f>
        <v>AD3.23. When was the last time you paid a bill using a debit or credit card?</v>
      </c>
      <c r="C388" s="6" t="s">
        <v>1538</v>
      </c>
      <c r="D388" s="114" t="s">
        <v>31</v>
      </c>
      <c r="E388" s="114">
        <v>1</v>
      </c>
      <c r="F388" s="51" t="s">
        <v>1842</v>
      </c>
      <c r="G388" s="9" t="str">
        <f t="shared" si="18"/>
        <v>AD3_23</v>
      </c>
      <c r="H388" s="39"/>
    </row>
    <row r="389" spans="1:23" s="37" customFormat="1" ht="84">
      <c r="A389" s="115" t="s">
        <v>1843</v>
      </c>
      <c r="B389" s="67" t="str">
        <f>A389&amp;". When was the last time you paid a bill using "&amp;Institution!D13&amp;"?"</f>
        <v>AD3.24. When was the last time you paid a bill using cash?</v>
      </c>
      <c r="C389" s="46" t="s">
        <v>1538</v>
      </c>
      <c r="D389" s="114" t="s">
        <v>31</v>
      </c>
      <c r="E389" s="114">
        <v>1</v>
      </c>
      <c r="F389" s="51" t="s">
        <v>1844</v>
      </c>
      <c r="G389" s="9" t="str">
        <f t="shared" si="18"/>
        <v>AD3_24</v>
      </c>
      <c r="H389" s="39"/>
    </row>
    <row r="390" spans="1:23" ht="45" customHeight="1">
      <c r="A390" s="115" t="s">
        <v>1845</v>
      </c>
      <c r="B390" s="67" t="str">
        <f>A390&amp;". Thinking about the bills that you pay regularly, how often do you miss or delay payments?"</f>
        <v>AD3.25. Thinking about the bills that you pay regularly, how often do you miss or delay payments?</v>
      </c>
      <c r="C390" s="6" t="s">
        <v>1846</v>
      </c>
      <c r="D390" s="114" t="s">
        <v>31</v>
      </c>
      <c r="E390" s="114">
        <v>1</v>
      </c>
      <c r="F390" s="15" t="s">
        <v>1822</v>
      </c>
      <c r="G390" s="9" t="str">
        <f t="shared" si="18"/>
        <v>AD3_25</v>
      </c>
      <c r="I390" s="12"/>
      <c r="J390" s="12"/>
      <c r="K390" s="12"/>
      <c r="L390" s="12"/>
      <c r="M390" s="12"/>
      <c r="N390" s="12"/>
      <c r="O390" s="12"/>
      <c r="P390" s="12"/>
      <c r="Q390" s="12"/>
      <c r="R390" s="12"/>
      <c r="S390" s="12"/>
      <c r="T390" s="12"/>
      <c r="U390" s="12"/>
      <c r="V390" s="12"/>
      <c r="W390" s="12"/>
    </row>
    <row r="391" spans="1:23" s="37" customFormat="1" ht="40" customHeight="1">
      <c r="A391" s="262" t="s">
        <v>1847</v>
      </c>
      <c r="B391" s="262"/>
      <c r="C391" s="262"/>
      <c r="D391" s="262"/>
      <c r="E391" s="262"/>
      <c r="F391" s="49" t="s">
        <v>13</v>
      </c>
      <c r="G391" s="49"/>
      <c r="H391" s="39"/>
    </row>
    <row r="392" spans="1:23" s="37" customFormat="1" ht="28">
      <c r="A392" s="114" t="s">
        <v>1848</v>
      </c>
      <c r="B392" s="67" t="str">
        <f>A392&amp;". Have you ever "&amp;Activity!A2&amp;"?"</f>
        <v>AD4. Have you ever paid a fee for school, education, or training?</v>
      </c>
      <c r="C392" s="67" t="s">
        <v>125</v>
      </c>
      <c r="D392" s="114" t="s">
        <v>31</v>
      </c>
      <c r="E392" s="114">
        <v>1</v>
      </c>
      <c r="F392" s="55" t="s">
        <v>13</v>
      </c>
      <c r="G392" s="9" t="str">
        <f t="shared" ref="G392:G412" si="19">SUBSTITUTE(A392,".","_")</f>
        <v>AD4</v>
      </c>
      <c r="H392" s="39"/>
    </row>
    <row r="393" spans="1:23" s="37" customFormat="1" ht="28">
      <c r="A393" s="115" t="s">
        <v>1849</v>
      </c>
      <c r="B393" s="67" t="str">
        <f>A393&amp;". Have you ever paid a fee for school, education, or training using "&amp;Institution!E2&amp;"?"</f>
        <v>AD4.1. Have you ever paid a fee for school, education, or training using a bank?</v>
      </c>
      <c r="C393" s="67" t="s">
        <v>125</v>
      </c>
      <c r="D393" s="114" t="s">
        <v>31</v>
      </c>
      <c r="E393" s="114">
        <v>1</v>
      </c>
      <c r="F393" s="51" t="s">
        <v>1850</v>
      </c>
      <c r="G393" s="9" t="str">
        <f t="shared" si="19"/>
        <v>AD4_1</v>
      </c>
      <c r="H393" s="39"/>
    </row>
    <row r="394" spans="1:23" s="37" customFormat="1" ht="28">
      <c r="A394" s="115" t="s">
        <v>1851</v>
      </c>
      <c r="B394" s="69" t="str">
        <f>A394&amp;". Have you ever paid a fee for school, education, or training using "&amp;Institution!E3&amp;"?"</f>
        <v>AD4.2. Have you ever paid a fee for school, education, or training using a smartphone app?</v>
      </c>
      <c r="C394" s="117" t="s">
        <v>125</v>
      </c>
      <c r="D394" s="115" t="s">
        <v>31</v>
      </c>
      <c r="E394" s="115">
        <v>1</v>
      </c>
      <c r="F394" s="51" t="s">
        <v>1852</v>
      </c>
      <c r="G394" s="83" t="str">
        <f>SUBSTITUTE(A394,".","_")</f>
        <v>AD4_2</v>
      </c>
      <c r="H394" s="39"/>
    </row>
    <row r="395" spans="1:23" s="37" customFormat="1" ht="28">
      <c r="A395" s="115" t="s">
        <v>1853</v>
      </c>
      <c r="B395" s="67" t="str">
        <f>A395&amp;". Have you ever paid a fee for school, education, or training using "&amp;Institution!E4&amp;"?"</f>
        <v>AD4.3. Have you ever paid a fee for school, education, or training using Pos Indonesia?</v>
      </c>
      <c r="C395" s="67" t="s">
        <v>125</v>
      </c>
      <c r="D395" s="114" t="s">
        <v>31</v>
      </c>
      <c r="E395" s="114">
        <v>1</v>
      </c>
      <c r="F395" s="51" t="s">
        <v>1854</v>
      </c>
      <c r="G395" s="9" t="str">
        <f t="shared" si="19"/>
        <v>AD4_3</v>
      </c>
      <c r="H395" s="39"/>
    </row>
    <row r="396" spans="1:23" s="37" customFormat="1" ht="28">
      <c r="A396" s="115" t="s">
        <v>1855</v>
      </c>
      <c r="B396" s="67" t="str">
        <f>A396&amp;". Have you ever paid a fee for school, education, or training using "&amp;Institution!E5&amp;"?"</f>
        <v>AD4.4. Have you ever paid a fee for school, education, or training using a mobile money service?</v>
      </c>
      <c r="C396" s="67" t="s">
        <v>125</v>
      </c>
      <c r="D396" s="114" t="s">
        <v>31</v>
      </c>
      <c r="E396" s="114">
        <v>1</v>
      </c>
      <c r="F396" s="51" t="s">
        <v>1856</v>
      </c>
      <c r="G396" s="9" t="str">
        <f t="shared" si="19"/>
        <v>AD4_4</v>
      </c>
      <c r="H396" s="39"/>
    </row>
    <row r="397" spans="1:23" s="37" customFormat="1" ht="28">
      <c r="A397" s="115" t="s">
        <v>1857</v>
      </c>
      <c r="B397" s="67" t="str">
        <f>A397&amp;". Have you ever paid a fee for school, education, or training using "&amp;Institution!E6&amp;"?"</f>
        <v>AD4.5. Have you ever paid a fee for school, education, or training using digital financial services (LKD) and/or Laku Pandai?</v>
      </c>
      <c r="C397" s="67" t="s">
        <v>125</v>
      </c>
      <c r="D397" s="114" t="s">
        <v>31</v>
      </c>
      <c r="E397" s="114">
        <v>1</v>
      </c>
      <c r="F397" s="51" t="s">
        <v>1858</v>
      </c>
      <c r="G397" s="9" t="str">
        <f t="shared" si="19"/>
        <v>AD4_5</v>
      </c>
      <c r="H397" s="39"/>
    </row>
    <row r="398" spans="1:23" s="37" customFormat="1" ht="28">
      <c r="A398" s="115" t="s">
        <v>1859</v>
      </c>
      <c r="B398" s="67" t="str">
        <f>A398&amp;". Have you ever paid a fee for school, education, or training using "&amp;Institution!E7&amp;"?"</f>
        <v>AD4.6. Have you ever paid a fee for school, education, or training using a Bank Perkreditan Rakyat (BPR)?</v>
      </c>
      <c r="C398" s="67" t="s">
        <v>125</v>
      </c>
      <c r="D398" s="114" t="s">
        <v>31</v>
      </c>
      <c r="E398" s="114">
        <v>1</v>
      </c>
      <c r="F398" s="51" t="s">
        <v>1860</v>
      </c>
      <c r="G398" s="9" t="str">
        <f t="shared" si="19"/>
        <v>AD4_6</v>
      </c>
      <c r="H398" s="39"/>
    </row>
    <row r="399" spans="1:23" s="37" customFormat="1" ht="28">
      <c r="A399" s="115" t="s">
        <v>1861</v>
      </c>
      <c r="B399" s="67" t="str">
        <f>A399&amp;". Have you ever paid a fee for school, education, or training using "&amp;Institution!E8&amp;"?"</f>
        <v>AD4.7. Have you ever paid a fee for school, education, or training using a koperasi (BMT, Credit Union, KSP), ventura or lembaga keungan mikro (LKM)?</v>
      </c>
      <c r="C399" s="67" t="s">
        <v>125</v>
      </c>
      <c r="D399" s="114" t="s">
        <v>31</v>
      </c>
      <c r="E399" s="114">
        <v>1</v>
      </c>
      <c r="F399" s="51" t="s">
        <v>1862</v>
      </c>
      <c r="G399" s="9" t="str">
        <f t="shared" si="19"/>
        <v>AD4_7</v>
      </c>
      <c r="H399" s="39"/>
    </row>
    <row r="400" spans="1:23" s="37" customFormat="1" ht="28">
      <c r="A400" s="115" t="s">
        <v>1863</v>
      </c>
      <c r="B400" s="67" t="str">
        <f>A400&amp;". Have you ever paid a fee for school, education, or training using "&amp;Institution!E9&amp;"?"</f>
        <v>AD4.8. Have you ever paid a fee for school, education, or training using a Baitul Maal wat Tamwil (BMT)?</v>
      </c>
      <c r="C400" s="67" t="s">
        <v>125</v>
      </c>
      <c r="D400" s="114" t="s">
        <v>31</v>
      </c>
      <c r="E400" s="114">
        <v>1</v>
      </c>
      <c r="F400" s="51" t="s">
        <v>1864</v>
      </c>
      <c r="G400" s="9" t="str">
        <f t="shared" si="19"/>
        <v>AD4_8</v>
      </c>
      <c r="H400" s="39"/>
    </row>
    <row r="401" spans="1:8" s="37" customFormat="1" ht="28">
      <c r="A401" s="115" t="s">
        <v>1865</v>
      </c>
      <c r="B401" s="67" t="str">
        <f>A401&amp;". Have you ever paid a fee for school, education, or training using "&amp;Institution!E10&amp;"?"</f>
        <v>AD4.9. Have you ever paid a fee for school, education, or training using a debit or credit card?</v>
      </c>
      <c r="C401" s="67" t="s">
        <v>125</v>
      </c>
      <c r="D401" s="114" t="s">
        <v>31</v>
      </c>
      <c r="E401" s="114">
        <v>1</v>
      </c>
      <c r="F401" s="116" t="s">
        <v>1866</v>
      </c>
      <c r="G401" s="9" t="str">
        <f t="shared" si="19"/>
        <v>AD4_9</v>
      </c>
      <c r="H401" s="39"/>
    </row>
    <row r="402" spans="1:8" s="37" customFormat="1" ht="28">
      <c r="A402" s="115" t="s">
        <v>1867</v>
      </c>
      <c r="B402" s="67" t="str">
        <f>A402&amp;". Have you ever paid a fee for school, education, or training using "&amp;Institution!E11&amp;"?"</f>
        <v>AD4.10. Have you ever paid a fee for school, education, or training using cash?</v>
      </c>
      <c r="C402" s="67" t="s">
        <v>125</v>
      </c>
      <c r="D402" s="114" t="s">
        <v>31</v>
      </c>
      <c r="E402" s="114">
        <v>1</v>
      </c>
      <c r="F402" s="51" t="s">
        <v>1868</v>
      </c>
      <c r="G402" s="9" t="str">
        <f t="shared" si="19"/>
        <v>AD4_10</v>
      </c>
      <c r="H402" s="39"/>
    </row>
    <row r="403" spans="1:8" s="37" customFormat="1" ht="84">
      <c r="A403" s="115" t="s">
        <v>1869</v>
      </c>
      <c r="B403" s="67" t="str">
        <f>A403&amp;". When was the last time you paid a fee for school, education, or training using "&amp;Institution!E2&amp;"?"</f>
        <v>AD4.11. When was the last time you paid a fee for school, education, or training using a bank?</v>
      </c>
      <c r="C403" s="6" t="s">
        <v>1538</v>
      </c>
      <c r="D403" s="114" t="s">
        <v>31</v>
      </c>
      <c r="E403" s="114">
        <v>1</v>
      </c>
      <c r="F403" s="77" t="s">
        <v>1870</v>
      </c>
      <c r="G403" s="9" t="str">
        <f t="shared" si="19"/>
        <v>AD4_11</v>
      </c>
      <c r="H403" s="39"/>
    </row>
    <row r="404" spans="1:8" s="37" customFormat="1" ht="84">
      <c r="A404" s="115" t="s">
        <v>1871</v>
      </c>
      <c r="B404" s="69" t="str">
        <f>A404&amp;". When was the last time you paid a fee for school, education, or training using "&amp;Institution!E3&amp;"?"</f>
        <v>AD4.12. When was the last time you paid a fee for school, education, or training using a smartphone app?</v>
      </c>
      <c r="C404" s="46" t="s">
        <v>1538</v>
      </c>
      <c r="D404" s="115" t="s">
        <v>31</v>
      </c>
      <c r="E404" s="115">
        <v>1</v>
      </c>
      <c r="F404" s="77" t="s">
        <v>1872</v>
      </c>
      <c r="G404" s="83" t="str">
        <f>SUBSTITUTE(A404,".","_")</f>
        <v>AD4_12</v>
      </c>
      <c r="H404" s="39"/>
    </row>
    <row r="405" spans="1:8" s="37" customFormat="1" ht="84">
      <c r="A405" s="115" t="s">
        <v>1873</v>
      </c>
      <c r="B405" s="67" t="str">
        <f>A405&amp;". When was the last time you paid a fee for school, education, or training using "&amp;Institution!E4&amp;"?"</f>
        <v>AD4.13. When was the last time you paid a fee for school, education, or training using Pos Indonesia?</v>
      </c>
      <c r="C405" s="6" t="s">
        <v>1538</v>
      </c>
      <c r="D405" s="114" t="s">
        <v>31</v>
      </c>
      <c r="E405" s="114">
        <v>1</v>
      </c>
      <c r="F405" s="77" t="s">
        <v>1874</v>
      </c>
      <c r="G405" s="9" t="str">
        <f t="shared" si="19"/>
        <v>AD4_13</v>
      </c>
      <c r="H405" s="39"/>
    </row>
    <row r="406" spans="1:8" s="37" customFormat="1" ht="84">
      <c r="A406" s="115" t="s">
        <v>1875</v>
      </c>
      <c r="B406" s="67" t="str">
        <f>A406&amp;". When was the last time you paid a fee for school, education, or training using "&amp;Institution!E5&amp;"?"</f>
        <v>AD4.14. When was the last time you paid a fee for school, education, or training using a mobile money service?</v>
      </c>
      <c r="C406" s="6" t="s">
        <v>1538</v>
      </c>
      <c r="D406" s="114" t="s">
        <v>31</v>
      </c>
      <c r="E406" s="114">
        <v>1</v>
      </c>
      <c r="F406" s="77" t="s">
        <v>1876</v>
      </c>
      <c r="G406" s="9" t="str">
        <f t="shared" si="19"/>
        <v>AD4_14</v>
      </c>
      <c r="H406" s="39"/>
    </row>
    <row r="407" spans="1:8" s="37" customFormat="1" ht="84">
      <c r="A407" s="115" t="s">
        <v>1877</v>
      </c>
      <c r="B407" s="67" t="str">
        <f>A407&amp;". When was the last time you paid a fee for school, education, or training using "&amp;Institution!E6&amp;"?"</f>
        <v>AD4.15. When was the last time you paid a fee for school, education, or training using digital financial services (LKD) and/or Laku Pandai?</v>
      </c>
      <c r="C407" s="6" t="s">
        <v>1538</v>
      </c>
      <c r="D407" s="114" t="s">
        <v>31</v>
      </c>
      <c r="E407" s="114">
        <v>1</v>
      </c>
      <c r="F407" s="77" t="s">
        <v>1878</v>
      </c>
      <c r="G407" s="9" t="str">
        <f t="shared" si="19"/>
        <v>AD4_15</v>
      </c>
      <c r="H407" s="39"/>
    </row>
    <row r="408" spans="1:8" s="37" customFormat="1" ht="84">
      <c r="A408" s="115" t="s">
        <v>1879</v>
      </c>
      <c r="B408" s="67" t="str">
        <f>A408&amp;". When was the last time you paid a fee for school, education, or training using "&amp;Institution!E7&amp;"?"</f>
        <v>AD4.16. When was the last time you paid a fee for school, education, or training using a Bank Perkreditan Rakyat (BPR)?</v>
      </c>
      <c r="C408" s="6" t="s">
        <v>1538</v>
      </c>
      <c r="D408" s="114" t="s">
        <v>31</v>
      </c>
      <c r="E408" s="114">
        <v>1</v>
      </c>
      <c r="F408" s="77" t="s">
        <v>1880</v>
      </c>
      <c r="G408" s="9" t="str">
        <f t="shared" si="19"/>
        <v>AD4_16</v>
      </c>
      <c r="H408" s="39"/>
    </row>
    <row r="409" spans="1:8" s="37" customFormat="1" ht="84">
      <c r="A409" s="115" t="s">
        <v>1881</v>
      </c>
      <c r="B409" s="67" t="str">
        <f>A409&amp;". When was the last time you paid a fee for school, education, or training using "&amp;Institution!E8&amp;"?"</f>
        <v>AD4.17. When was the last time you paid a fee for school, education, or training using a koperasi (BMT, Credit Union, KSP), ventura or lembaga keungan mikro (LKM)?</v>
      </c>
      <c r="C409" s="6" t="s">
        <v>1538</v>
      </c>
      <c r="D409" s="114" t="s">
        <v>31</v>
      </c>
      <c r="E409" s="114">
        <v>1</v>
      </c>
      <c r="F409" s="77" t="s">
        <v>1882</v>
      </c>
      <c r="G409" s="9" t="str">
        <f t="shared" si="19"/>
        <v>AD4_17</v>
      </c>
      <c r="H409" s="39"/>
    </row>
    <row r="410" spans="1:8" s="37" customFormat="1" ht="84">
      <c r="A410" s="115" t="s">
        <v>1883</v>
      </c>
      <c r="B410" s="67" t="str">
        <f>A410&amp;". When was the last time you paid a fee for school, education, or training using "&amp;Institution!E9&amp;"?"</f>
        <v>AD4.18. When was the last time you paid a fee for school, education, or training using a Baitul Maal wat Tamwil (BMT)?</v>
      </c>
      <c r="C410" s="6" t="s">
        <v>1538</v>
      </c>
      <c r="D410" s="114" t="s">
        <v>31</v>
      </c>
      <c r="E410" s="114">
        <v>1</v>
      </c>
      <c r="F410" s="77" t="s">
        <v>1884</v>
      </c>
      <c r="G410" s="9" t="str">
        <f t="shared" si="19"/>
        <v>AD4_18</v>
      </c>
      <c r="H410" s="39"/>
    </row>
    <row r="411" spans="1:8" s="37" customFormat="1" ht="84">
      <c r="A411" s="115" t="s">
        <v>1885</v>
      </c>
      <c r="B411" s="67" t="str">
        <f>A411&amp;". When was the last time you paid a fee for school, education, or training using "&amp;Institution!E10&amp;"?"</f>
        <v>AD4.19. When was the last time you paid a fee for school, education, or training using a debit or credit card?</v>
      </c>
      <c r="C411" s="6" t="s">
        <v>1538</v>
      </c>
      <c r="D411" s="114" t="s">
        <v>31</v>
      </c>
      <c r="E411" s="114">
        <v>1</v>
      </c>
      <c r="F411" s="94" t="s">
        <v>1886</v>
      </c>
      <c r="G411" s="9" t="str">
        <f t="shared" si="19"/>
        <v>AD4_19</v>
      </c>
      <c r="H411" s="39"/>
    </row>
    <row r="412" spans="1:8" s="37" customFormat="1" ht="30" customHeight="1">
      <c r="A412" s="115" t="s">
        <v>1887</v>
      </c>
      <c r="B412" s="67" t="str">
        <f>A412&amp;". When was the last time you paid a fee for school, education, or training using "&amp;Institution!E11&amp;"?"</f>
        <v>AD4.20. When was the last time you paid a fee for school, education, or training using cash?</v>
      </c>
      <c r="C412" s="46" t="s">
        <v>1538</v>
      </c>
      <c r="D412" s="114" t="s">
        <v>31</v>
      </c>
      <c r="E412" s="114">
        <v>1</v>
      </c>
      <c r="F412" s="94" t="s">
        <v>1888</v>
      </c>
      <c r="G412" s="9" t="str">
        <f t="shared" si="19"/>
        <v>AD4_20</v>
      </c>
      <c r="H412" s="39"/>
    </row>
    <row r="413" spans="1:8" s="37" customFormat="1" ht="30" customHeight="1">
      <c r="A413" s="262" t="s">
        <v>1889</v>
      </c>
      <c r="B413" s="262"/>
      <c r="C413" s="262"/>
      <c r="D413" s="262"/>
      <c r="E413" s="262"/>
      <c r="F413" s="49" t="s">
        <v>13</v>
      </c>
      <c r="G413" s="49"/>
      <c r="H413" s="39"/>
    </row>
    <row r="414" spans="1:8" s="37" customFormat="1" ht="28">
      <c r="A414" s="114" t="s">
        <v>1890</v>
      </c>
      <c r="B414" s="67" t="str">
        <f>A414&amp;". Have you ever "&amp;Activity!A4&amp;"?"</f>
        <v>AD5. Have you ever paid a tax, fine, fee, or other payment to the government?</v>
      </c>
      <c r="C414" s="67" t="s">
        <v>125</v>
      </c>
      <c r="D414" s="114" t="s">
        <v>31</v>
      </c>
      <c r="E414" s="114">
        <v>1</v>
      </c>
      <c r="F414" s="15" t="s">
        <v>1891</v>
      </c>
      <c r="G414" s="9" t="str">
        <f>SUBSTITUTE(A414,".","_")</f>
        <v>AD5</v>
      </c>
      <c r="H414" s="39"/>
    </row>
    <row r="415" spans="1:8" s="37" customFormat="1" ht="28">
      <c r="A415" s="114" t="s">
        <v>1892</v>
      </c>
      <c r="B415" s="67" t="str">
        <f>A415&amp;". Have you ever paid a tax, fine, fee, or other payment to the government using "&amp;Institution!F2&amp;"?"</f>
        <v>AD5.1. Have you ever paid a tax, fine, fee, or other payment to the government using a bank?</v>
      </c>
      <c r="C415" s="67" t="s">
        <v>125</v>
      </c>
      <c r="D415" s="114" t="s">
        <v>31</v>
      </c>
      <c r="E415" s="114">
        <v>1</v>
      </c>
      <c r="F415" s="27" t="s">
        <v>1893</v>
      </c>
      <c r="G415" s="9" t="str">
        <f t="shared" ref="G415:G434" si="20">SUBSTITUTE(A415,".","_")</f>
        <v>AD5_1</v>
      </c>
      <c r="H415" s="39"/>
    </row>
    <row r="416" spans="1:8" s="37" customFormat="1" ht="28">
      <c r="A416" s="115" t="s">
        <v>1894</v>
      </c>
      <c r="B416" s="69" t="str">
        <f>A416&amp;". Have you ever paid a tax, fine, fee, or other payment to the government using "&amp;Institution!F3&amp;"?"</f>
        <v>AD5.2. Have you ever paid a tax, fine, fee, or other payment to the government using a smartphone app?</v>
      </c>
      <c r="C416" s="117" t="s">
        <v>125</v>
      </c>
      <c r="D416" s="115" t="s">
        <v>31</v>
      </c>
      <c r="E416" s="115">
        <v>1</v>
      </c>
      <c r="F416" s="51" t="s">
        <v>1895</v>
      </c>
      <c r="G416" s="83" t="str">
        <f>SUBSTITUTE(A416,".","_")</f>
        <v>AD5_2</v>
      </c>
      <c r="H416" s="39"/>
    </row>
    <row r="417" spans="1:8" s="37" customFormat="1" ht="28">
      <c r="A417" s="115" t="s">
        <v>1896</v>
      </c>
      <c r="B417" s="67" t="str">
        <f>A417&amp;". Have you ever paid a tax, fine, fee, or other payment to the government using "&amp;Institution!F4&amp;"?"</f>
        <v>AD5.3. Have you ever paid a tax, fine, fee, or other payment to the government using Pos Indonesia?</v>
      </c>
      <c r="C417" s="67" t="s">
        <v>125</v>
      </c>
      <c r="D417" s="114" t="s">
        <v>31</v>
      </c>
      <c r="E417" s="114">
        <v>1</v>
      </c>
      <c r="F417" s="51" t="s">
        <v>1897</v>
      </c>
      <c r="G417" s="9" t="str">
        <f t="shared" si="20"/>
        <v>AD5_3</v>
      </c>
      <c r="H417" s="39"/>
    </row>
    <row r="418" spans="1:8" s="37" customFormat="1" ht="28">
      <c r="A418" s="115" t="s">
        <v>1898</v>
      </c>
      <c r="B418" s="67" t="str">
        <f>A418&amp;". Have you ever paid a tax, fine, fee, or other payment to the government using "&amp;Institution!F5&amp;"?"</f>
        <v>AD5.4. Have you ever paid a tax, fine, fee, or other payment to the government using a mobile money service?</v>
      </c>
      <c r="C418" s="67" t="s">
        <v>125</v>
      </c>
      <c r="D418" s="114" t="s">
        <v>31</v>
      </c>
      <c r="E418" s="114">
        <v>1</v>
      </c>
      <c r="F418" s="51" t="s">
        <v>1899</v>
      </c>
      <c r="G418" s="9" t="str">
        <f t="shared" si="20"/>
        <v>AD5_4</v>
      </c>
      <c r="H418" s="39"/>
    </row>
    <row r="419" spans="1:8" s="37" customFormat="1" ht="28">
      <c r="A419" s="115" t="s">
        <v>1900</v>
      </c>
      <c r="B419" s="67" t="str">
        <f>A419&amp;". Have you ever paid a tax, fine, fee, or other payment to the government using "&amp;Institution!F6&amp;"?"</f>
        <v>AD5.5. Have you ever paid a tax, fine, fee, or other payment to the government using digital financial services (LKD) and/or Laku Pandai?</v>
      </c>
      <c r="C419" s="67" t="s">
        <v>125</v>
      </c>
      <c r="D419" s="114" t="s">
        <v>31</v>
      </c>
      <c r="E419" s="114">
        <v>1</v>
      </c>
      <c r="F419" s="51" t="s">
        <v>1901</v>
      </c>
      <c r="G419" s="9" t="str">
        <f t="shared" si="20"/>
        <v>AD5_5</v>
      </c>
      <c r="H419" s="39"/>
    </row>
    <row r="420" spans="1:8" s="37" customFormat="1" ht="28">
      <c r="A420" s="115" t="s">
        <v>1902</v>
      </c>
      <c r="B420" s="67" t="str">
        <f>A420&amp;". Have you ever paid a tax, fine, fee, or other payment to the government using "&amp;Institution!F7&amp;"?"</f>
        <v>AD5.6. Have you ever paid a tax, fine, fee, or other payment to the government using a Bank Perkreditan Rakyat (BPR)?</v>
      </c>
      <c r="C420" s="67" t="s">
        <v>125</v>
      </c>
      <c r="D420" s="114" t="s">
        <v>31</v>
      </c>
      <c r="E420" s="114">
        <v>1</v>
      </c>
      <c r="F420" s="51" t="s">
        <v>1903</v>
      </c>
      <c r="G420" s="9" t="str">
        <f t="shared" si="20"/>
        <v>AD5_6</v>
      </c>
      <c r="H420" s="39"/>
    </row>
    <row r="421" spans="1:8" s="37" customFormat="1" ht="28">
      <c r="A421" s="115" t="s">
        <v>1904</v>
      </c>
      <c r="B421" s="67" t="str">
        <f>A421&amp;". Have you ever paid a tax, fine, fee, or other payment to the government using "&amp;Institution!F8&amp;"?"</f>
        <v>AD5.7. Have you ever paid a tax, fine, fee, or other payment to the government using a koperasi (BMT, Credit Union, KSP), ventura or lembaga keungan mikro (LKM)?</v>
      </c>
      <c r="C421" s="67" t="s">
        <v>125</v>
      </c>
      <c r="D421" s="114" t="s">
        <v>31</v>
      </c>
      <c r="E421" s="114">
        <v>1</v>
      </c>
      <c r="F421" s="51" t="s">
        <v>1905</v>
      </c>
      <c r="G421" s="9" t="str">
        <f t="shared" si="20"/>
        <v>AD5_7</v>
      </c>
      <c r="H421" s="39"/>
    </row>
    <row r="422" spans="1:8" s="37" customFormat="1" ht="28">
      <c r="A422" s="115" t="s">
        <v>1906</v>
      </c>
      <c r="B422" s="67" t="str">
        <f>A422&amp;". Have you ever paid a tax, fine, fee, or other payment to the government using "&amp;Institution!F9&amp;"?"</f>
        <v>AD5.8. Have you ever paid a tax, fine, fee, or other payment to the government using a Baitul Maal wat Tamwil (BMT)?</v>
      </c>
      <c r="C422" s="67" t="s">
        <v>125</v>
      </c>
      <c r="D422" s="114" t="s">
        <v>31</v>
      </c>
      <c r="E422" s="114">
        <v>1</v>
      </c>
      <c r="F422" s="51" t="s">
        <v>1907</v>
      </c>
      <c r="G422" s="9" t="str">
        <f t="shared" si="20"/>
        <v>AD5_8</v>
      </c>
      <c r="H422" s="39"/>
    </row>
    <row r="423" spans="1:8" s="37" customFormat="1" ht="28">
      <c r="A423" s="115" t="s">
        <v>1908</v>
      </c>
      <c r="B423" s="67" t="str">
        <f>A423&amp;". Have you ever paid a tax, fine, fee, or other payment to the government using "&amp;Institution!F10&amp;"?"</f>
        <v>AD5.9. Have you ever paid a tax, fine, fee, or other payment to the government using a debit or credit card?</v>
      </c>
      <c r="C423" s="67" t="s">
        <v>125</v>
      </c>
      <c r="D423" s="114" t="s">
        <v>31</v>
      </c>
      <c r="E423" s="114">
        <v>1</v>
      </c>
      <c r="F423" s="116" t="s">
        <v>1909</v>
      </c>
      <c r="G423" s="9" t="str">
        <f t="shared" si="20"/>
        <v>AD5_9</v>
      </c>
      <c r="H423" s="39"/>
    </row>
    <row r="424" spans="1:8" s="37" customFormat="1" ht="28">
      <c r="A424" s="115" t="s">
        <v>1910</v>
      </c>
      <c r="B424" s="67" t="str">
        <f>A424&amp;". Have you ever paid a tax, fine, fee, or other payment to the government using "&amp;Institution!F11&amp;"?"</f>
        <v>AD5.10. Have you ever paid a tax, fine, fee, or other payment to the government using cash?</v>
      </c>
      <c r="C424" s="67" t="s">
        <v>125</v>
      </c>
      <c r="D424" s="114" t="s">
        <v>31</v>
      </c>
      <c r="E424" s="114">
        <v>1</v>
      </c>
      <c r="F424" s="51" t="s">
        <v>1911</v>
      </c>
      <c r="G424" s="9" t="str">
        <f t="shared" si="20"/>
        <v>AD5_10</v>
      </c>
      <c r="H424" s="39"/>
    </row>
    <row r="425" spans="1:8" s="37" customFormat="1" ht="84">
      <c r="A425" s="115" t="s">
        <v>1912</v>
      </c>
      <c r="B425" s="67" t="str">
        <f>A425&amp;". When was the last time you paid a tax, fine, fee, or other payment to the government using "&amp;Institution!F2&amp;"?"</f>
        <v>AD5.11. When was the last time you paid a tax, fine, fee, or other payment to the government using a bank?</v>
      </c>
      <c r="C425" s="6" t="s">
        <v>1538</v>
      </c>
      <c r="D425" s="114" t="s">
        <v>31</v>
      </c>
      <c r="E425" s="114">
        <v>1</v>
      </c>
      <c r="F425" s="55" t="s">
        <v>1913</v>
      </c>
      <c r="G425" s="9" t="str">
        <f t="shared" si="20"/>
        <v>AD5_11</v>
      </c>
      <c r="H425" s="39"/>
    </row>
    <row r="426" spans="1:8" s="37" customFormat="1" ht="84">
      <c r="A426" s="115" t="s">
        <v>1914</v>
      </c>
      <c r="B426" s="69" t="str">
        <f>A426&amp;". When was the last time you paid a tax, fine, fee, or other payment to the government using "&amp;Institution!F3&amp;"?"</f>
        <v>AD5.12. When was the last time you paid a tax, fine, fee, or other payment to the government using a smartphone app?</v>
      </c>
      <c r="C426" s="46" t="s">
        <v>1538</v>
      </c>
      <c r="D426" s="115" t="s">
        <v>31</v>
      </c>
      <c r="E426" s="115">
        <v>1</v>
      </c>
      <c r="F426" s="77" t="s">
        <v>1915</v>
      </c>
      <c r="G426" s="83" t="str">
        <f>SUBSTITUTE(A426,".","_")</f>
        <v>AD5_12</v>
      </c>
      <c r="H426" s="39"/>
    </row>
    <row r="427" spans="1:8" s="37" customFormat="1" ht="84">
      <c r="A427" s="115" t="s">
        <v>1916</v>
      </c>
      <c r="B427" s="67" t="str">
        <f>A427&amp;". When was the last time you paid a tax, fine, fee, or other payment to the government using "&amp;Institution!F4&amp;"?"</f>
        <v>AD5.13. When was the last time you paid a tax, fine, fee, or other payment to the government using Pos Indonesia?</v>
      </c>
      <c r="C427" s="6" t="s">
        <v>1538</v>
      </c>
      <c r="D427" s="114" t="s">
        <v>31</v>
      </c>
      <c r="E427" s="114">
        <v>1</v>
      </c>
      <c r="F427" s="77" t="s">
        <v>1917</v>
      </c>
      <c r="G427" s="9" t="str">
        <f t="shared" si="20"/>
        <v>AD5_13</v>
      </c>
      <c r="H427" s="39"/>
    </row>
    <row r="428" spans="1:8" s="37" customFormat="1" ht="84">
      <c r="A428" s="115" t="s">
        <v>1918</v>
      </c>
      <c r="B428" s="67" t="str">
        <f>A428&amp;". When was the last time you paid a tax, fine, fee, or other payment to the government using "&amp;Institution!F5&amp;"?"</f>
        <v>AD5.14. When was the last time you paid a tax, fine, fee, or other payment to the government using a mobile money service?</v>
      </c>
      <c r="C428" s="6" t="s">
        <v>1538</v>
      </c>
      <c r="D428" s="114" t="s">
        <v>31</v>
      </c>
      <c r="E428" s="114">
        <v>1</v>
      </c>
      <c r="F428" s="77" t="s">
        <v>1919</v>
      </c>
      <c r="G428" s="9" t="str">
        <f t="shared" si="20"/>
        <v>AD5_14</v>
      </c>
      <c r="H428" s="39"/>
    </row>
    <row r="429" spans="1:8" s="37" customFormat="1" ht="84">
      <c r="A429" s="115" t="s">
        <v>1920</v>
      </c>
      <c r="B429" s="67" t="str">
        <f>A429&amp;". When was the last time you paid a tax, fine, fee, or other payment to the government using "&amp;Institution!F6&amp;"?"</f>
        <v>AD5.15. When was the last time you paid a tax, fine, fee, or other payment to the government using digital financial services (LKD) and/or Laku Pandai?</v>
      </c>
      <c r="C429" s="6" t="s">
        <v>1538</v>
      </c>
      <c r="D429" s="114" t="s">
        <v>31</v>
      </c>
      <c r="E429" s="119">
        <v>1</v>
      </c>
      <c r="F429" s="77" t="s">
        <v>1921</v>
      </c>
      <c r="G429" s="9" t="str">
        <f t="shared" si="20"/>
        <v>AD5_15</v>
      </c>
      <c r="H429" s="39"/>
    </row>
    <row r="430" spans="1:8" s="37" customFormat="1" ht="84">
      <c r="A430" s="115" t="s">
        <v>1922</v>
      </c>
      <c r="B430" s="67" t="str">
        <f>A430&amp;". When was the last time you paid a tax, fine, fee, or other payment to the government using "&amp;Institution!F7&amp;"?"</f>
        <v>AD5.16. When was the last time you paid a tax, fine, fee, or other payment to the government using a Bank Perkreditan Rakyat (BPR)?</v>
      </c>
      <c r="C430" s="6" t="s">
        <v>1538</v>
      </c>
      <c r="D430" s="114" t="s">
        <v>31</v>
      </c>
      <c r="E430" s="119">
        <v>1</v>
      </c>
      <c r="F430" s="77" t="s">
        <v>1923</v>
      </c>
      <c r="G430" s="9" t="str">
        <f t="shared" si="20"/>
        <v>AD5_16</v>
      </c>
      <c r="H430" s="39"/>
    </row>
    <row r="431" spans="1:8" s="37" customFormat="1" ht="84">
      <c r="A431" s="115" t="s">
        <v>1924</v>
      </c>
      <c r="B431" s="67" t="str">
        <f>A431&amp;". When was the last time you paid a tax, fine, fee, or other payment to the government using "&amp;Institution!F8&amp;"?"</f>
        <v>AD5.17. When was the last time you paid a tax, fine, fee, or other payment to the government using a koperasi (BMT, Credit Union, KSP), ventura or lembaga keungan mikro (LKM)?</v>
      </c>
      <c r="C431" s="6" t="s">
        <v>1538</v>
      </c>
      <c r="D431" s="114" t="s">
        <v>31</v>
      </c>
      <c r="E431" s="114">
        <v>1</v>
      </c>
      <c r="F431" s="77" t="s">
        <v>1925</v>
      </c>
      <c r="G431" s="9" t="str">
        <f t="shared" si="20"/>
        <v>AD5_17</v>
      </c>
      <c r="H431" s="39"/>
    </row>
    <row r="432" spans="1:8" s="37" customFormat="1" ht="84">
      <c r="A432" s="115" t="s">
        <v>1926</v>
      </c>
      <c r="B432" s="67" t="str">
        <f>A432&amp;". When was the last time you paid a tax, fine, fee, or other payment to the government using "&amp;Institution!F9&amp;"?"</f>
        <v>AD5.18. When was the last time you paid a tax, fine, fee, or other payment to the government using a Baitul Maal wat Tamwil (BMT)?</v>
      </c>
      <c r="C432" s="6" t="s">
        <v>1538</v>
      </c>
      <c r="D432" s="114" t="s">
        <v>31</v>
      </c>
      <c r="E432" s="114">
        <v>1</v>
      </c>
      <c r="F432" s="77" t="s">
        <v>1927</v>
      </c>
      <c r="G432" s="9" t="str">
        <f t="shared" si="20"/>
        <v>AD5_18</v>
      </c>
      <c r="H432" s="39"/>
    </row>
    <row r="433" spans="1:8" s="37" customFormat="1" ht="84">
      <c r="A433" s="115" t="s">
        <v>1928</v>
      </c>
      <c r="B433" s="67" t="str">
        <f>A433&amp;". When was the last time you paid a tax, fine, fee, or other payment to the government using "&amp;Institution!F10&amp;"?"</f>
        <v>AD5.19. When was the last time you paid a tax, fine, fee, or other payment to the government using a debit or credit card?</v>
      </c>
      <c r="C433" s="6" t="s">
        <v>1538</v>
      </c>
      <c r="D433" s="114" t="s">
        <v>31</v>
      </c>
      <c r="E433" s="119">
        <v>1</v>
      </c>
      <c r="F433" s="94" t="s">
        <v>1929</v>
      </c>
      <c r="G433" s="9" t="str">
        <f t="shared" si="20"/>
        <v>AD5_19</v>
      </c>
      <c r="H433" s="39"/>
    </row>
    <row r="434" spans="1:8" s="37" customFormat="1" ht="50" customHeight="1">
      <c r="A434" s="115" t="s">
        <v>1930</v>
      </c>
      <c r="B434" s="67" t="str">
        <f>A434&amp;". When was the last time you paid a tax, fine, fee, or other payment to the government using "&amp;Institution!F11&amp;"?"</f>
        <v>AD5.20. When was the last time you paid a tax, fine, fee, or other payment to the government using cash?</v>
      </c>
      <c r="C434" s="46" t="s">
        <v>1538</v>
      </c>
      <c r="D434" s="114" t="s">
        <v>31</v>
      </c>
      <c r="E434" s="114">
        <v>1</v>
      </c>
      <c r="F434" s="94" t="s">
        <v>1931</v>
      </c>
      <c r="G434" s="9" t="str">
        <f t="shared" si="20"/>
        <v>AD5_20</v>
      </c>
      <c r="H434" s="39"/>
    </row>
    <row r="435" spans="1:8" s="37" customFormat="1" ht="50" customHeight="1">
      <c r="A435" s="262" t="s">
        <v>1932</v>
      </c>
      <c r="B435" s="262"/>
      <c r="C435" s="262"/>
      <c r="D435" s="262"/>
      <c r="E435" s="262"/>
      <c r="F435" s="49" t="s">
        <v>13</v>
      </c>
      <c r="G435" s="49"/>
      <c r="H435" s="39"/>
    </row>
    <row r="436" spans="1:8" s="37" customFormat="1" ht="28">
      <c r="A436" s="114" t="s">
        <v>1933</v>
      </c>
      <c r="B436" s="67" t="str">
        <f>A436&amp;". Have you ever received money from the government?"</f>
        <v>AD6. Have you ever received money from the government?</v>
      </c>
      <c r="C436" s="67" t="s">
        <v>125</v>
      </c>
      <c r="D436" s="114" t="s">
        <v>31</v>
      </c>
      <c r="E436" s="114">
        <v>1</v>
      </c>
      <c r="F436" s="15" t="s">
        <v>13</v>
      </c>
      <c r="G436" s="9" t="str">
        <f>SUBSTITUTE(A436,".","_")</f>
        <v>AD6</v>
      </c>
      <c r="H436" s="39"/>
    </row>
    <row r="437" spans="1:8" s="37" customFormat="1" ht="28">
      <c r="A437" s="115" t="s">
        <v>1934</v>
      </c>
      <c r="B437" s="67" t="str">
        <f>A437&amp;".Have you ever received money from the government using "&amp;Institution!G2&amp;"?"</f>
        <v>AD6.1.Have you ever received money from the government using a bank?</v>
      </c>
      <c r="C437" s="67" t="s">
        <v>125</v>
      </c>
      <c r="D437" s="114" t="s">
        <v>31</v>
      </c>
      <c r="E437" s="114">
        <v>1</v>
      </c>
      <c r="F437" s="51" t="s">
        <v>1935</v>
      </c>
      <c r="G437" s="9" t="str">
        <f t="shared" ref="G437:G455" si="21">SUBSTITUTE(A437,".","_")</f>
        <v>AD6_1</v>
      </c>
      <c r="H437" s="39"/>
    </row>
    <row r="438" spans="1:8" s="37" customFormat="1" ht="28">
      <c r="A438" s="115" t="s">
        <v>1936</v>
      </c>
      <c r="B438" s="69" t="str">
        <f>A438&amp;".Have you ever received money from the government using "&amp;Institution!G3&amp;"?"</f>
        <v>AD6.2.Have you ever received money from the government using a smartphone app?</v>
      </c>
      <c r="C438" s="117" t="s">
        <v>125</v>
      </c>
      <c r="D438" s="115" t="s">
        <v>31</v>
      </c>
      <c r="E438" s="115">
        <v>1</v>
      </c>
      <c r="F438" s="51" t="s">
        <v>1937</v>
      </c>
      <c r="G438" s="83" t="str">
        <f>SUBSTITUTE(A438,".","_")</f>
        <v>AD6_2</v>
      </c>
      <c r="H438" s="39"/>
    </row>
    <row r="439" spans="1:8" s="37" customFormat="1" ht="28">
      <c r="A439" s="115" t="s">
        <v>1938</v>
      </c>
      <c r="B439" s="67" t="str">
        <f>A439&amp;".Have you ever received money from the government using "&amp;Institution!G4&amp;"?"</f>
        <v>AD6.3.Have you ever received money from the government using Pos Indonesia?</v>
      </c>
      <c r="C439" s="67" t="s">
        <v>125</v>
      </c>
      <c r="D439" s="114" t="s">
        <v>31</v>
      </c>
      <c r="E439" s="114">
        <v>1</v>
      </c>
      <c r="F439" s="51" t="s">
        <v>1939</v>
      </c>
      <c r="G439" s="9" t="str">
        <f t="shared" si="21"/>
        <v>AD6_3</v>
      </c>
      <c r="H439" s="39"/>
    </row>
    <row r="440" spans="1:8" s="37" customFormat="1" ht="28">
      <c r="A440" s="115" t="s">
        <v>1940</v>
      </c>
      <c r="B440" s="67" t="str">
        <f>A440&amp;".Have you ever received money from the government using "&amp;Institution!G5&amp;"?"</f>
        <v>AD6.4.Have you ever received money from the government using a mobile money service?</v>
      </c>
      <c r="C440" s="67" t="s">
        <v>125</v>
      </c>
      <c r="D440" s="114" t="s">
        <v>31</v>
      </c>
      <c r="E440" s="114">
        <v>1</v>
      </c>
      <c r="F440" s="51" t="s">
        <v>1941</v>
      </c>
      <c r="G440" s="9" t="str">
        <f t="shared" si="21"/>
        <v>AD6_4</v>
      </c>
      <c r="H440" s="39"/>
    </row>
    <row r="441" spans="1:8" s="37" customFormat="1" ht="28">
      <c r="A441" s="115" t="s">
        <v>1942</v>
      </c>
      <c r="B441" s="67" t="str">
        <f>A441&amp;".Have you ever received money from the government using "&amp;Institution!G6&amp;"?"</f>
        <v>AD6.5.Have you ever received money from the government using digital financial services (LKD) and/or Laku Pandai?</v>
      </c>
      <c r="C441" s="67" t="s">
        <v>125</v>
      </c>
      <c r="D441" s="114" t="s">
        <v>31</v>
      </c>
      <c r="E441" s="114">
        <v>1</v>
      </c>
      <c r="F441" s="51" t="s">
        <v>1943</v>
      </c>
      <c r="G441" s="9" t="str">
        <f t="shared" si="21"/>
        <v>AD6_5</v>
      </c>
      <c r="H441" s="39"/>
    </row>
    <row r="442" spans="1:8" s="37" customFormat="1" ht="28">
      <c r="A442" s="115" t="s">
        <v>1944</v>
      </c>
      <c r="B442" s="67" t="str">
        <f>A442&amp;".Have you ever received money from the government using "&amp;Institution!G7&amp;"?"</f>
        <v>AD6.6.Have you ever received money from the government using a Bank Perkreditan Rakyat (BPR)?</v>
      </c>
      <c r="C442" s="67" t="s">
        <v>125</v>
      </c>
      <c r="D442" s="114" t="s">
        <v>31</v>
      </c>
      <c r="E442" s="114">
        <v>1</v>
      </c>
      <c r="F442" s="51" t="s">
        <v>1945</v>
      </c>
      <c r="G442" s="9" t="str">
        <f t="shared" si="21"/>
        <v>AD6_6</v>
      </c>
      <c r="H442" s="39"/>
    </row>
    <row r="443" spans="1:8" s="37" customFormat="1" ht="28">
      <c r="A443" s="115" t="s">
        <v>1946</v>
      </c>
      <c r="B443" s="67" t="str">
        <f>A443&amp;".Have you ever received money from the government using "&amp;Institution!G8&amp;"?"</f>
        <v>AD6.7.Have you ever received money from the government using a koperasi (BMT, Credit Union, KSP), ventura or lembaga keungan mikro (LKM)?</v>
      </c>
      <c r="C443" s="67" t="s">
        <v>125</v>
      </c>
      <c r="D443" s="114" t="s">
        <v>31</v>
      </c>
      <c r="E443" s="114">
        <v>1</v>
      </c>
      <c r="F443" s="51" t="s">
        <v>1947</v>
      </c>
      <c r="G443" s="9" t="str">
        <f t="shared" si="21"/>
        <v>AD6_7</v>
      </c>
      <c r="H443" s="39"/>
    </row>
    <row r="444" spans="1:8" s="37" customFormat="1" ht="28">
      <c r="A444" s="115" t="s">
        <v>1948</v>
      </c>
      <c r="B444" s="67" t="str">
        <f>A444&amp;".Have you ever received money from the government using "&amp;Institution!G9&amp;"?"</f>
        <v>AD6.8.Have you ever received money from the government using a Baitul Maal wat Tamwil (BMT)?</v>
      </c>
      <c r="C444" s="67" t="s">
        <v>125</v>
      </c>
      <c r="D444" s="114" t="s">
        <v>31</v>
      </c>
      <c r="E444" s="114">
        <v>1</v>
      </c>
      <c r="F444" s="51" t="s">
        <v>1949</v>
      </c>
      <c r="G444" s="9" t="str">
        <f t="shared" si="21"/>
        <v>AD6_8</v>
      </c>
      <c r="H444" s="39"/>
    </row>
    <row r="445" spans="1:8" s="37" customFormat="1" ht="28">
      <c r="A445" s="115" t="s">
        <v>1950</v>
      </c>
      <c r="B445" s="67" t="str">
        <f>A445&amp;".Have you ever received money from the government using "&amp;Institution!G10&amp;"?"</f>
        <v>AD6.9.Have you ever received money from the government using a debit or credit card?</v>
      </c>
      <c r="C445" s="67" t="s">
        <v>125</v>
      </c>
      <c r="D445" s="114" t="s">
        <v>31</v>
      </c>
      <c r="E445" s="114">
        <v>1</v>
      </c>
      <c r="F445" s="116" t="s">
        <v>1951</v>
      </c>
      <c r="G445" s="9" t="str">
        <f t="shared" si="21"/>
        <v>AD6_9</v>
      </c>
      <c r="H445" s="39"/>
    </row>
    <row r="446" spans="1:8" s="37" customFormat="1" ht="28">
      <c r="A446" s="115" t="s">
        <v>1952</v>
      </c>
      <c r="B446" s="117" t="str">
        <f>A446&amp;".Have you ever received money from the government using "&amp;Institution!G11&amp;"?"</f>
        <v>AD6.10.Have you ever received money from the government using cash?</v>
      </c>
      <c r="C446" s="117" t="s">
        <v>125</v>
      </c>
      <c r="D446" s="115" t="s">
        <v>31</v>
      </c>
      <c r="E446" s="115">
        <v>1</v>
      </c>
      <c r="F446" s="51" t="s">
        <v>1953</v>
      </c>
      <c r="G446" s="83" t="str">
        <f>SUBSTITUTE(A446,".","_")</f>
        <v>AD6_10</v>
      </c>
      <c r="H446" s="39"/>
    </row>
    <row r="447" spans="1:8" s="37" customFormat="1" ht="84">
      <c r="A447" s="115" t="s">
        <v>1954</v>
      </c>
      <c r="B447" s="67" t="str">
        <f>A447&amp;".When was the last time you received money from the government using "&amp;Institution!G2&amp;"?"</f>
        <v>AD6.11.When was the last time you received money from the government using a bank?</v>
      </c>
      <c r="C447" s="6" t="s">
        <v>1538</v>
      </c>
      <c r="D447" s="114" t="s">
        <v>31</v>
      </c>
      <c r="E447" s="114">
        <v>1</v>
      </c>
      <c r="F447" s="77" t="s">
        <v>1955</v>
      </c>
      <c r="G447" s="9" t="str">
        <f t="shared" si="21"/>
        <v>AD6_11</v>
      </c>
      <c r="H447" s="39"/>
    </row>
    <row r="448" spans="1:8" s="37" customFormat="1" ht="84">
      <c r="A448" s="115" t="s">
        <v>1956</v>
      </c>
      <c r="B448" s="69" t="str">
        <f>A448&amp;".When was the last time you received money from the government using "&amp;Institution!G3&amp;"?"</f>
        <v>AD6.12.When was the last time you received money from the government using a smartphone app?</v>
      </c>
      <c r="C448" s="46" t="s">
        <v>1538</v>
      </c>
      <c r="D448" s="115" t="s">
        <v>31</v>
      </c>
      <c r="E448" s="115">
        <v>1</v>
      </c>
      <c r="F448" s="77" t="s">
        <v>1957</v>
      </c>
      <c r="G448" s="83" t="str">
        <f>SUBSTITUTE(A448,".","_")</f>
        <v>AD6_12</v>
      </c>
      <c r="H448" s="39"/>
    </row>
    <row r="449" spans="1:8" s="37" customFormat="1" ht="84">
      <c r="A449" s="115" t="s">
        <v>1958</v>
      </c>
      <c r="B449" s="67" t="str">
        <f>A449&amp;".When was the last time you received money from the government using "&amp;Institution!G4&amp;"?"</f>
        <v>AD6.13.When was the last time you received money from the government using Pos Indonesia?</v>
      </c>
      <c r="C449" s="6" t="s">
        <v>1538</v>
      </c>
      <c r="D449" s="114" t="s">
        <v>31</v>
      </c>
      <c r="E449" s="114">
        <v>1</v>
      </c>
      <c r="F449" s="77" t="s">
        <v>1959</v>
      </c>
      <c r="G449" s="9" t="str">
        <f t="shared" si="21"/>
        <v>AD6_13</v>
      </c>
      <c r="H449" s="39"/>
    </row>
    <row r="450" spans="1:8" s="37" customFormat="1" ht="84">
      <c r="A450" s="115" t="s">
        <v>1960</v>
      </c>
      <c r="B450" s="67" t="str">
        <f>A450&amp;".When was the last time you received money from the government using "&amp;Institution!G5&amp;"?"</f>
        <v>AD6.14.When was the last time you received money from the government using a mobile money service?</v>
      </c>
      <c r="C450" s="6" t="s">
        <v>1538</v>
      </c>
      <c r="D450" s="114" t="s">
        <v>31</v>
      </c>
      <c r="E450" s="114">
        <v>1</v>
      </c>
      <c r="F450" s="77" t="s">
        <v>1961</v>
      </c>
      <c r="G450" s="9" t="str">
        <f t="shared" si="21"/>
        <v>AD6_14</v>
      </c>
      <c r="H450" s="39"/>
    </row>
    <row r="451" spans="1:8" s="37" customFormat="1" ht="84">
      <c r="A451" s="115" t="s">
        <v>1962</v>
      </c>
      <c r="B451" s="67" t="str">
        <f>A451&amp;".When was the last time you received money from the government using "&amp;Institution!G6&amp;"?"</f>
        <v>AD6.15.When was the last time you received money from the government using digital financial services (LKD) and/or Laku Pandai?</v>
      </c>
      <c r="C451" s="6" t="s">
        <v>1538</v>
      </c>
      <c r="D451" s="114" t="s">
        <v>31</v>
      </c>
      <c r="E451" s="114">
        <v>1</v>
      </c>
      <c r="F451" s="77" t="s">
        <v>1963</v>
      </c>
      <c r="G451" s="9" t="str">
        <f t="shared" si="21"/>
        <v>AD6_15</v>
      </c>
      <c r="H451" s="39"/>
    </row>
    <row r="452" spans="1:8" s="37" customFormat="1" ht="84">
      <c r="A452" s="115" t="s">
        <v>1964</v>
      </c>
      <c r="B452" s="67" t="str">
        <f>A452&amp;".When was the last time you received money from the government using "&amp;Institution!G7&amp;"?"</f>
        <v>AD6.16.When was the last time you received money from the government using a Bank Perkreditan Rakyat (BPR)?</v>
      </c>
      <c r="C452" s="6" t="s">
        <v>1538</v>
      </c>
      <c r="D452" s="114" t="s">
        <v>31</v>
      </c>
      <c r="E452" s="114">
        <v>1</v>
      </c>
      <c r="F452" s="77" t="s">
        <v>1965</v>
      </c>
      <c r="G452" s="9" t="str">
        <f t="shared" si="21"/>
        <v>AD6_16</v>
      </c>
      <c r="H452" s="39"/>
    </row>
    <row r="453" spans="1:8" s="37" customFormat="1" ht="84">
      <c r="A453" s="115" t="s">
        <v>1966</v>
      </c>
      <c r="B453" s="67" t="str">
        <f>A453&amp;".When was the last time you received money from the government using "&amp;Institution!G8&amp;"?"</f>
        <v>AD6.17.When was the last time you received money from the government using a koperasi (BMT, Credit Union, KSP), ventura or lembaga keungan mikro (LKM)?</v>
      </c>
      <c r="C453" s="6" t="s">
        <v>1538</v>
      </c>
      <c r="D453" s="114" t="s">
        <v>31</v>
      </c>
      <c r="E453" s="114">
        <v>1</v>
      </c>
      <c r="F453" s="77" t="s">
        <v>1967</v>
      </c>
      <c r="G453" s="9" t="str">
        <f t="shared" si="21"/>
        <v>AD6_17</v>
      </c>
      <c r="H453" s="39"/>
    </row>
    <row r="454" spans="1:8" s="37" customFormat="1" ht="84">
      <c r="A454" s="115" t="s">
        <v>1968</v>
      </c>
      <c r="B454" s="67" t="str">
        <f>A454&amp;".When was the last time you received money from the government using "&amp;Institution!G9&amp;"?"</f>
        <v>AD6.18.When was the last time you received money from the government using a Baitul Maal wat Tamwil (BMT)?</v>
      </c>
      <c r="C454" s="6" t="s">
        <v>1538</v>
      </c>
      <c r="D454" s="114" t="s">
        <v>31</v>
      </c>
      <c r="E454" s="114">
        <v>1</v>
      </c>
      <c r="F454" s="77" t="s">
        <v>1969</v>
      </c>
      <c r="G454" s="9" t="str">
        <f t="shared" si="21"/>
        <v>AD6_18</v>
      </c>
      <c r="H454" s="39"/>
    </row>
    <row r="455" spans="1:8" s="37" customFormat="1" ht="84">
      <c r="A455" s="115" t="s">
        <v>1970</v>
      </c>
      <c r="B455" s="67" t="str">
        <f>A455&amp;".When was the last time you received money from the government using "&amp;Institution!G10&amp;"?"</f>
        <v>AD6.19.When was the last time you received money from the government using a debit or credit card?</v>
      </c>
      <c r="C455" s="46" t="s">
        <v>1538</v>
      </c>
      <c r="D455" s="114" t="s">
        <v>31</v>
      </c>
      <c r="E455" s="114">
        <v>1</v>
      </c>
      <c r="F455" s="94" t="s">
        <v>1971</v>
      </c>
      <c r="G455" s="9" t="str">
        <f t="shared" si="21"/>
        <v>AD6_19</v>
      </c>
      <c r="H455" s="39"/>
    </row>
    <row r="456" spans="1:8" s="37" customFormat="1" ht="50" customHeight="1">
      <c r="A456" s="115" t="s">
        <v>1972</v>
      </c>
      <c r="B456" s="117" t="str">
        <f>A456&amp;".When was the last time you received money from the government using "&amp;Institution!G11&amp;"?"</f>
        <v>AD6.20.When was the last time you received money from the government using cash?</v>
      </c>
      <c r="C456" s="46" t="s">
        <v>1538</v>
      </c>
      <c r="D456" s="115" t="s">
        <v>31</v>
      </c>
      <c r="E456" s="115">
        <v>1</v>
      </c>
      <c r="F456" s="94" t="s">
        <v>1973</v>
      </c>
      <c r="G456" s="83" t="str">
        <f>SUBSTITUTE(A456,".","_")</f>
        <v>AD6_20</v>
      </c>
      <c r="H456" s="39"/>
    </row>
    <row r="457" spans="1:8" s="37" customFormat="1" ht="55" customHeight="1">
      <c r="A457" s="262" t="s">
        <v>1974</v>
      </c>
      <c r="B457" s="262"/>
      <c r="C457" s="262"/>
      <c r="D457" s="262"/>
      <c r="E457" s="262"/>
      <c r="F457" s="49" t="s">
        <v>13</v>
      </c>
      <c r="G457" s="49"/>
      <c r="H457" s="39"/>
    </row>
    <row r="458" spans="1:8" s="37" customFormat="1" ht="28">
      <c r="A458" s="114" t="s">
        <v>1975</v>
      </c>
      <c r="B458" s="15" t="str">
        <f>A458&amp;". Have you ever received payment from an employer?"</f>
        <v>AD7. Have you ever received payment from an employer?</v>
      </c>
      <c r="C458" s="67" t="s">
        <v>125</v>
      </c>
      <c r="D458" s="114" t="s">
        <v>31</v>
      </c>
      <c r="E458" s="114">
        <v>1</v>
      </c>
      <c r="F458" s="55" t="s">
        <v>13</v>
      </c>
      <c r="G458" s="9" t="str">
        <f>SUBSTITUTE(A458,".","_")</f>
        <v>AD7</v>
      </c>
      <c r="H458" s="39"/>
    </row>
    <row r="459" spans="1:8" s="37" customFormat="1" ht="28">
      <c r="A459" s="115" t="s">
        <v>1976</v>
      </c>
      <c r="B459" s="67" t="str">
        <f>A459&amp;". Have you ever received payment from an employer using "&amp;Institution!H2&amp;"?"</f>
        <v>AD7.1. Have you ever received payment from an employer using a bank?</v>
      </c>
      <c r="C459" s="67" t="s">
        <v>125</v>
      </c>
      <c r="D459" s="114" t="s">
        <v>31</v>
      </c>
      <c r="E459" s="114">
        <v>1</v>
      </c>
      <c r="F459" s="120" t="s">
        <v>1977</v>
      </c>
      <c r="G459" s="9" t="str">
        <f t="shared" ref="G459:G477" si="22">SUBSTITUTE(A459,".","_")</f>
        <v>AD7_1</v>
      </c>
      <c r="H459" s="39"/>
    </row>
    <row r="460" spans="1:8" s="37" customFormat="1" ht="28">
      <c r="A460" s="115" t="s">
        <v>1978</v>
      </c>
      <c r="B460" s="69" t="str">
        <f>A460&amp;". Have you ever received payment from an employer using "&amp;Institution!H3&amp;"?"</f>
        <v>AD7.2. Have you ever received payment from an employer using a smartphone app?</v>
      </c>
      <c r="C460" s="117" t="s">
        <v>125</v>
      </c>
      <c r="D460" s="115" t="s">
        <v>31</v>
      </c>
      <c r="E460" s="115">
        <v>1</v>
      </c>
      <c r="F460" s="51" t="s">
        <v>1979</v>
      </c>
      <c r="G460" s="83" t="str">
        <f>SUBSTITUTE(A460,".","_")</f>
        <v>AD7_2</v>
      </c>
      <c r="H460" s="39"/>
    </row>
    <row r="461" spans="1:8" s="37" customFormat="1" ht="28">
      <c r="A461" s="115" t="s">
        <v>1980</v>
      </c>
      <c r="B461" s="67" t="str">
        <f>A461&amp;". Have you ever received payment from an employer using "&amp;Institution!H4&amp;"?"</f>
        <v>AD7.3. Have you ever received payment from an employer using Pos Indonesia?</v>
      </c>
      <c r="C461" s="67" t="s">
        <v>125</v>
      </c>
      <c r="D461" s="114" t="s">
        <v>31</v>
      </c>
      <c r="E461" s="114">
        <v>1</v>
      </c>
      <c r="F461" s="51" t="s">
        <v>1981</v>
      </c>
      <c r="G461" s="9" t="str">
        <f t="shared" si="22"/>
        <v>AD7_3</v>
      </c>
      <c r="H461" s="39"/>
    </row>
    <row r="462" spans="1:8" s="37" customFormat="1" ht="28">
      <c r="A462" s="115" t="s">
        <v>1982</v>
      </c>
      <c r="B462" s="67" t="str">
        <f>A462&amp;". Have you ever received payment from an employer using "&amp;Institution!H5&amp;"?"</f>
        <v>AD7.4. Have you ever received payment from an employer using a mobile money service?</v>
      </c>
      <c r="C462" s="67" t="s">
        <v>125</v>
      </c>
      <c r="D462" s="114" t="s">
        <v>31</v>
      </c>
      <c r="E462" s="114">
        <v>1</v>
      </c>
      <c r="F462" s="51" t="s">
        <v>1983</v>
      </c>
      <c r="G462" s="9" t="str">
        <f t="shared" si="22"/>
        <v>AD7_4</v>
      </c>
      <c r="H462" s="39"/>
    </row>
    <row r="463" spans="1:8" s="37" customFormat="1" ht="28">
      <c r="A463" s="115" t="s">
        <v>1984</v>
      </c>
      <c r="B463" s="67" t="str">
        <f>A463&amp;". Have you ever received payment from an employer using "&amp;Institution!H6&amp;"?"</f>
        <v>AD7.5. Have you ever received payment from an employer using digital financial services (LKD) and/or Laku Pandai?</v>
      </c>
      <c r="C463" s="67" t="s">
        <v>125</v>
      </c>
      <c r="D463" s="114" t="s">
        <v>31</v>
      </c>
      <c r="E463" s="114">
        <v>1</v>
      </c>
      <c r="F463" s="51" t="s">
        <v>1985</v>
      </c>
      <c r="G463" s="9" t="str">
        <f t="shared" si="22"/>
        <v>AD7_5</v>
      </c>
      <c r="H463" s="39"/>
    </row>
    <row r="464" spans="1:8" s="37" customFormat="1" ht="28">
      <c r="A464" s="115" t="s">
        <v>1986</v>
      </c>
      <c r="B464" s="67" t="str">
        <f>A464&amp;". Have you ever received payment from an employer using "&amp;Institution!H7&amp;"?"</f>
        <v>AD7.6. Have you ever received payment from an employer using a Bank Perkreditan Rakyat (BPR)?</v>
      </c>
      <c r="C464" s="67" t="s">
        <v>125</v>
      </c>
      <c r="D464" s="114" t="s">
        <v>31</v>
      </c>
      <c r="E464" s="114">
        <v>1</v>
      </c>
      <c r="F464" s="51" t="s">
        <v>1987</v>
      </c>
      <c r="G464" s="9" t="str">
        <f t="shared" si="22"/>
        <v>AD7_6</v>
      </c>
      <c r="H464" s="39"/>
    </row>
    <row r="465" spans="1:8" s="37" customFormat="1" ht="28">
      <c r="A465" s="115" t="s">
        <v>1988</v>
      </c>
      <c r="B465" s="67" t="str">
        <f>A465&amp;". Have you ever received payment from an employer using "&amp;Institution!H8&amp;"?"</f>
        <v>AD7.7. Have you ever received payment from an employer using a koperasi (BMT, Credit Union, KSP), ventura or lembaga keungan mikro (LKM)?</v>
      </c>
      <c r="C465" s="67" t="s">
        <v>125</v>
      </c>
      <c r="D465" s="114" t="s">
        <v>31</v>
      </c>
      <c r="E465" s="114">
        <v>1</v>
      </c>
      <c r="F465" s="51" t="s">
        <v>1989</v>
      </c>
      <c r="G465" s="9" t="str">
        <f t="shared" si="22"/>
        <v>AD7_7</v>
      </c>
      <c r="H465" s="39"/>
    </row>
    <row r="466" spans="1:8" s="37" customFormat="1" ht="28">
      <c r="A466" s="115" t="s">
        <v>1990</v>
      </c>
      <c r="B466" s="15" t="str">
        <f>A466&amp;". Have you ever received payment from an employer using "&amp;Institution!H9&amp;"?"</f>
        <v>AD7.8. Have you ever received payment from an employer using a Baitul Maal wat Tamwil (BMT)?</v>
      </c>
      <c r="C466" s="67" t="s">
        <v>125</v>
      </c>
      <c r="D466" s="114" t="s">
        <v>31</v>
      </c>
      <c r="E466" s="114">
        <v>1</v>
      </c>
      <c r="F466" s="51" t="s">
        <v>1991</v>
      </c>
      <c r="G466" s="9" t="str">
        <f t="shared" si="22"/>
        <v>AD7_8</v>
      </c>
      <c r="H466" s="39"/>
    </row>
    <row r="467" spans="1:8" s="37" customFormat="1" ht="28">
      <c r="A467" s="115" t="s">
        <v>1992</v>
      </c>
      <c r="B467" s="67" t="str">
        <f>A467&amp;". Have you ever received payment from an employer using "&amp;Institution!H10&amp;"?"</f>
        <v>AD7.9. Have you ever received payment from an employer using a debit or credit card?</v>
      </c>
      <c r="C467" s="67" t="s">
        <v>125</v>
      </c>
      <c r="D467" s="114" t="s">
        <v>31</v>
      </c>
      <c r="E467" s="114">
        <v>1</v>
      </c>
      <c r="F467" s="116" t="s">
        <v>1993</v>
      </c>
      <c r="G467" s="9" t="str">
        <f t="shared" si="22"/>
        <v>AD7_9</v>
      </c>
      <c r="H467" s="39"/>
    </row>
    <row r="468" spans="1:8" s="37" customFormat="1" ht="28">
      <c r="A468" s="115" t="s">
        <v>1994</v>
      </c>
      <c r="B468" s="67" t="str">
        <f>A468&amp;". Have you ever received payment from an employer using "&amp;Institution!H11&amp;"?"</f>
        <v>AD7.10. Have you ever received payment from an employer using cash?</v>
      </c>
      <c r="C468" s="67" t="s">
        <v>125</v>
      </c>
      <c r="D468" s="114" t="s">
        <v>31</v>
      </c>
      <c r="E468" s="114">
        <v>1</v>
      </c>
      <c r="F468" s="51" t="s">
        <v>1995</v>
      </c>
      <c r="G468" s="9" t="str">
        <f>SUBSTITUTE(A468,".","_")</f>
        <v>AD7_10</v>
      </c>
      <c r="H468" s="39"/>
    </row>
    <row r="469" spans="1:8" s="37" customFormat="1" ht="84">
      <c r="A469" s="115" t="s">
        <v>1996</v>
      </c>
      <c r="B469" s="67" t="str">
        <f>A469&amp;". When was the last time you received payment from an employer using "&amp;Institution!H2&amp;"?"</f>
        <v>AD7.11. When was the last time you received payment from an employer using a bank?</v>
      </c>
      <c r="C469" s="6" t="s">
        <v>1538</v>
      </c>
      <c r="D469" s="114" t="s">
        <v>31</v>
      </c>
      <c r="E469" s="114">
        <v>1</v>
      </c>
      <c r="F469" s="55" t="s">
        <v>1997</v>
      </c>
      <c r="G469" s="9" t="str">
        <f t="shared" si="22"/>
        <v>AD7_11</v>
      </c>
      <c r="H469" s="39"/>
    </row>
    <row r="470" spans="1:8" s="37" customFormat="1" ht="84">
      <c r="A470" s="115" t="s">
        <v>1998</v>
      </c>
      <c r="B470" s="69" t="str">
        <f>A470&amp;". When was the last time you received payment from an employer using "&amp;Institution!H3&amp;"?"</f>
        <v>AD7.12. When was the last time you received payment from an employer using a smartphone app?</v>
      </c>
      <c r="C470" s="46" t="s">
        <v>1538</v>
      </c>
      <c r="D470" s="115" t="s">
        <v>31</v>
      </c>
      <c r="E470" s="115">
        <v>1</v>
      </c>
      <c r="F470" s="77" t="s">
        <v>1999</v>
      </c>
      <c r="G470" s="83" t="str">
        <f>SUBSTITUTE(A470,".","_")</f>
        <v>AD7_12</v>
      </c>
      <c r="H470" s="39"/>
    </row>
    <row r="471" spans="1:8" s="37" customFormat="1" ht="84">
      <c r="A471" s="115" t="s">
        <v>2000</v>
      </c>
      <c r="B471" s="67" t="str">
        <f>A471&amp;". When was the last time you received payment from an employer using "&amp;Institution!H4&amp;"?"</f>
        <v>AD7.13. When was the last time you received payment from an employer using Pos Indonesia?</v>
      </c>
      <c r="C471" s="6" t="s">
        <v>1538</v>
      </c>
      <c r="D471" s="114" t="s">
        <v>31</v>
      </c>
      <c r="E471" s="114">
        <v>1</v>
      </c>
      <c r="F471" s="77" t="s">
        <v>2001</v>
      </c>
      <c r="G471" s="9" t="str">
        <f t="shared" si="22"/>
        <v>AD7_13</v>
      </c>
      <c r="H471" s="39"/>
    </row>
    <row r="472" spans="1:8" s="37" customFormat="1" ht="84">
      <c r="A472" s="115" t="s">
        <v>2002</v>
      </c>
      <c r="B472" s="67" t="str">
        <f>A472&amp;". When was the last time you received payment from an employer using "&amp;Institution!H5&amp;"?"</f>
        <v>AD7.14. When was the last time you received payment from an employer using a mobile money service?</v>
      </c>
      <c r="C472" s="6" t="s">
        <v>1538</v>
      </c>
      <c r="D472" s="114" t="s">
        <v>31</v>
      </c>
      <c r="E472" s="114">
        <v>1</v>
      </c>
      <c r="F472" s="77" t="s">
        <v>2003</v>
      </c>
      <c r="G472" s="9" t="str">
        <f t="shared" si="22"/>
        <v>AD7_14</v>
      </c>
      <c r="H472" s="39"/>
    </row>
    <row r="473" spans="1:8" s="37" customFormat="1" ht="84">
      <c r="A473" s="115" t="s">
        <v>2004</v>
      </c>
      <c r="B473" s="67" t="str">
        <f>A473&amp;". When was the last time you received payment from an employer using "&amp;Institution!H6&amp;"?"</f>
        <v>AD7.15. When was the last time you received payment from an employer using digital financial services (LKD) and/or Laku Pandai?</v>
      </c>
      <c r="C473" s="6" t="s">
        <v>1538</v>
      </c>
      <c r="D473" s="114" t="s">
        <v>31</v>
      </c>
      <c r="E473" s="121">
        <v>1</v>
      </c>
      <c r="F473" s="77" t="s">
        <v>2005</v>
      </c>
      <c r="G473" s="9" t="str">
        <f t="shared" si="22"/>
        <v>AD7_15</v>
      </c>
      <c r="H473" s="39"/>
    </row>
    <row r="474" spans="1:8" s="37" customFormat="1" ht="84">
      <c r="A474" s="115" t="s">
        <v>2006</v>
      </c>
      <c r="B474" s="67" t="str">
        <f>A474&amp;". When was the last time you received payment from an employer using "&amp;Institution!H7&amp;"?"</f>
        <v>AD7.16. When was the last time you received payment from an employer using a Bank Perkreditan Rakyat (BPR)?</v>
      </c>
      <c r="C474" s="6" t="s">
        <v>1538</v>
      </c>
      <c r="D474" s="114" t="s">
        <v>31</v>
      </c>
      <c r="E474" s="114">
        <v>1</v>
      </c>
      <c r="F474" s="77" t="s">
        <v>2007</v>
      </c>
      <c r="G474" s="9" t="str">
        <f t="shared" si="22"/>
        <v>AD7_16</v>
      </c>
      <c r="H474" s="39"/>
    </row>
    <row r="475" spans="1:8" s="37" customFormat="1" ht="84">
      <c r="A475" s="115" t="s">
        <v>2008</v>
      </c>
      <c r="B475" s="67" t="str">
        <f>A475&amp;". When was the last time you received payment from an employer using "&amp;Institution!H8&amp;"?"</f>
        <v>AD7.17. When was the last time you received payment from an employer using a koperasi (BMT, Credit Union, KSP), ventura or lembaga keungan mikro (LKM)?</v>
      </c>
      <c r="C475" s="6" t="s">
        <v>1538</v>
      </c>
      <c r="D475" s="114" t="s">
        <v>31</v>
      </c>
      <c r="E475" s="114">
        <v>1</v>
      </c>
      <c r="F475" s="77" t="s">
        <v>2009</v>
      </c>
      <c r="G475" s="9" t="str">
        <f t="shared" si="22"/>
        <v>AD7_17</v>
      </c>
      <c r="H475" s="39"/>
    </row>
    <row r="476" spans="1:8" s="37" customFormat="1" ht="84">
      <c r="A476" s="115" t="s">
        <v>2010</v>
      </c>
      <c r="B476" s="67" t="str">
        <f>A476&amp;". When was the last time you received payment from an employer using "&amp;Institution!H9&amp;"?"</f>
        <v>AD7.18. When was the last time you received payment from an employer using a Baitul Maal wat Tamwil (BMT)?</v>
      </c>
      <c r="C476" s="6" t="s">
        <v>1538</v>
      </c>
      <c r="D476" s="114" t="s">
        <v>31</v>
      </c>
      <c r="E476" s="114">
        <v>1</v>
      </c>
      <c r="F476" s="77" t="s">
        <v>2011</v>
      </c>
      <c r="G476" s="9" t="str">
        <f t="shared" si="22"/>
        <v>AD7_18</v>
      </c>
      <c r="H476" s="39"/>
    </row>
    <row r="477" spans="1:8" s="37" customFormat="1" ht="84">
      <c r="A477" s="115" t="s">
        <v>2012</v>
      </c>
      <c r="B477" s="67" t="str">
        <f>A477&amp;". When was the last time you received payment from an employer using "&amp;Institution!H10&amp;"?"</f>
        <v>AD7.19. When was the last time you received payment from an employer using a debit or credit card?</v>
      </c>
      <c r="C477" s="46" t="s">
        <v>1538</v>
      </c>
      <c r="D477" s="114" t="s">
        <v>31</v>
      </c>
      <c r="E477" s="121">
        <v>1</v>
      </c>
      <c r="F477" s="94" t="s">
        <v>2013</v>
      </c>
      <c r="G477" s="9" t="str">
        <f t="shared" si="22"/>
        <v>AD7_19</v>
      </c>
      <c r="H477" s="39"/>
    </row>
    <row r="478" spans="1:8" s="37" customFormat="1" ht="60" customHeight="1">
      <c r="A478" s="115" t="s">
        <v>2014</v>
      </c>
      <c r="B478" s="67" t="str">
        <f>A478&amp;". When was the last time you received payment from an employer using "&amp;Institution!H11&amp;"?"</f>
        <v>AD7.20. When was the last time you received payment from an employer using cash?</v>
      </c>
      <c r="C478" s="46" t="s">
        <v>1538</v>
      </c>
      <c r="D478" s="114" t="s">
        <v>31</v>
      </c>
      <c r="E478" s="121">
        <v>1</v>
      </c>
      <c r="F478" s="94" t="s">
        <v>2015</v>
      </c>
      <c r="G478" s="9" t="str">
        <f>SUBSTITUTE(A478,".","_")</f>
        <v>AD7_20</v>
      </c>
      <c r="H478" s="39"/>
    </row>
    <row r="479" spans="1:8" s="37" customFormat="1" ht="60" customHeight="1">
      <c r="A479" s="262" t="s">
        <v>2016</v>
      </c>
      <c r="B479" s="262"/>
      <c r="C479" s="262"/>
      <c r="D479" s="262"/>
      <c r="E479" s="262"/>
      <c r="F479" s="107" t="s">
        <v>13</v>
      </c>
      <c r="G479" s="107"/>
      <c r="H479" s="39"/>
    </row>
    <row r="480" spans="1:8" s="37" customFormat="1" ht="28">
      <c r="A480" s="114" t="s">
        <v>2017</v>
      </c>
      <c r="B480" s="67" t="str">
        <f>A480&amp;". Have you ever "&amp;Activity!A8&amp;"?"</f>
        <v>AD8. Have you ever paid for insurance or received payment from insurance?</v>
      </c>
      <c r="C480" s="67" t="s">
        <v>125</v>
      </c>
      <c r="D480" s="114" t="s">
        <v>31</v>
      </c>
      <c r="E480" s="114">
        <v>1</v>
      </c>
      <c r="F480" s="6" t="s">
        <v>13</v>
      </c>
      <c r="G480" s="9" t="str">
        <f t="shared" ref="G480:G516" si="23">SUBSTITUTE(A480,".","_")</f>
        <v>AD8</v>
      </c>
      <c r="H480" s="39"/>
    </row>
    <row r="481" spans="1:8" s="37" customFormat="1" ht="28">
      <c r="A481" s="114" t="s">
        <v>2018</v>
      </c>
      <c r="B481" s="67" t="str">
        <f>A481&amp;". Have you ever paid for insurance or received payment from insurance using "&amp;Institution!I2&amp;"?"</f>
        <v>AD8.1. Have you ever paid for insurance or received payment from insurance using a bank?</v>
      </c>
      <c r="C481" s="67" t="s">
        <v>125</v>
      </c>
      <c r="D481" s="114" t="s">
        <v>31</v>
      </c>
      <c r="E481" s="114">
        <v>1</v>
      </c>
      <c r="F481" s="15" t="s">
        <v>2019</v>
      </c>
      <c r="G481" s="9" t="str">
        <f t="shared" si="23"/>
        <v>AD8_1</v>
      </c>
      <c r="H481" s="39"/>
    </row>
    <row r="482" spans="1:8" s="37" customFormat="1" ht="28">
      <c r="A482" s="114" t="s">
        <v>2020</v>
      </c>
      <c r="B482" s="69" t="str">
        <f>A482&amp;". Have you ever paid for insurance or received payment from insurance using "&amp;Institution!I3&amp;"?"</f>
        <v>AD8.2. Have you ever paid for insurance or received payment from insurance using a smartphone app?</v>
      </c>
      <c r="C482" s="67" t="s">
        <v>125</v>
      </c>
      <c r="D482" s="114" t="s">
        <v>31</v>
      </c>
      <c r="E482" s="114">
        <v>1</v>
      </c>
      <c r="F482" s="51" t="s">
        <v>2021</v>
      </c>
      <c r="G482" s="9" t="str">
        <f>SUBSTITUTE(A482,".","_")</f>
        <v>AD8_2</v>
      </c>
      <c r="H482" s="39"/>
    </row>
    <row r="483" spans="1:8" s="37" customFormat="1" ht="28">
      <c r="A483" s="114" t="s">
        <v>2022</v>
      </c>
      <c r="B483" s="67" t="str">
        <f>A483&amp;". Have you ever paid for insurance or received payment from insurance using "&amp;Institution!I4&amp;"?"</f>
        <v>AD8.3. Have you ever paid for insurance or received payment from insurance using Pos Indonesia?</v>
      </c>
      <c r="C483" s="67" t="s">
        <v>125</v>
      </c>
      <c r="D483" s="114" t="s">
        <v>31</v>
      </c>
      <c r="E483" s="114">
        <v>1</v>
      </c>
      <c r="F483" s="51" t="s">
        <v>2023</v>
      </c>
      <c r="G483" s="9" t="str">
        <f t="shared" si="23"/>
        <v>AD8_3</v>
      </c>
      <c r="H483" s="39"/>
    </row>
    <row r="484" spans="1:8" s="37" customFormat="1" ht="28">
      <c r="A484" s="114" t="s">
        <v>2024</v>
      </c>
      <c r="B484" s="67" t="str">
        <f>A484&amp;". Have you ever paid for insurance or received payment from insurance using "&amp;Institution!I5&amp;"?"</f>
        <v>AD8.4. Have you ever paid for insurance or received payment from insurance using a mobile money service?</v>
      </c>
      <c r="C484" s="67" t="s">
        <v>125</v>
      </c>
      <c r="D484" s="114" t="s">
        <v>31</v>
      </c>
      <c r="E484" s="114">
        <v>1</v>
      </c>
      <c r="F484" s="15" t="s">
        <v>2025</v>
      </c>
      <c r="G484" s="9" t="str">
        <f t="shared" si="23"/>
        <v>AD8_4</v>
      </c>
      <c r="H484" s="39"/>
    </row>
    <row r="485" spans="1:8" s="123" customFormat="1" ht="28">
      <c r="A485" s="114" t="s">
        <v>2026</v>
      </c>
      <c r="B485" s="67" t="str">
        <f>A485&amp;". Have you ever paid for insurance or received payment from insurance using "&amp;Institution!I6&amp;"?"</f>
        <v>AD8.5. Have you ever paid for insurance or received payment from insurance using digital financial services (LKD) and/or Laku Pandai?</v>
      </c>
      <c r="C485" s="67" t="s">
        <v>125</v>
      </c>
      <c r="D485" s="114" t="s">
        <v>31</v>
      </c>
      <c r="E485" s="114">
        <v>1</v>
      </c>
      <c r="F485" s="51" t="s">
        <v>2027</v>
      </c>
      <c r="G485" s="9" t="str">
        <f t="shared" si="23"/>
        <v>AD8_5</v>
      </c>
      <c r="H485" s="122"/>
    </row>
    <row r="486" spans="1:8" s="123" customFormat="1" ht="28">
      <c r="A486" s="114" t="s">
        <v>2028</v>
      </c>
      <c r="B486" s="67" t="str">
        <f>A486&amp;". Have you ever paid for insurance or received payment from insurance using "&amp;Institution!I7&amp;"?"</f>
        <v>AD8.6. Have you ever paid for insurance or received payment from insurance using a Bank Perkreditan Rakyat (BPR)?</v>
      </c>
      <c r="C486" s="67" t="s">
        <v>125</v>
      </c>
      <c r="D486" s="114" t="s">
        <v>31</v>
      </c>
      <c r="E486" s="114">
        <v>1</v>
      </c>
      <c r="F486" s="51" t="s">
        <v>2029</v>
      </c>
      <c r="G486" s="9" t="str">
        <f t="shared" si="23"/>
        <v>AD8_6</v>
      </c>
      <c r="H486" s="122"/>
    </row>
    <row r="487" spans="1:8" s="123" customFormat="1" ht="28">
      <c r="A487" s="114" t="s">
        <v>2030</v>
      </c>
      <c r="B487" s="67" t="str">
        <f>A487&amp;". Have you ever paid for insurance or received payment from insurance using "&amp;Institution!I8&amp;"?"</f>
        <v>AD8.7. Have you ever paid for insurance or received payment from insurance using a koperasi (BMT, Credit Union, KSP), ventura or lembaga keungan mikro (LKM)?</v>
      </c>
      <c r="C487" s="67" t="s">
        <v>125</v>
      </c>
      <c r="D487" s="114" t="s">
        <v>31</v>
      </c>
      <c r="E487" s="114">
        <v>1</v>
      </c>
      <c r="F487" s="51" t="s">
        <v>2031</v>
      </c>
      <c r="G487" s="9" t="str">
        <f t="shared" si="23"/>
        <v>AD8_7</v>
      </c>
      <c r="H487" s="122"/>
    </row>
    <row r="488" spans="1:8" s="123" customFormat="1" ht="28">
      <c r="A488" s="114" t="s">
        <v>2032</v>
      </c>
      <c r="B488" s="67" t="str">
        <f>A488&amp;". Have you ever paid for insurance or received payment from insurance using "&amp;Institution!I9&amp;"?"</f>
        <v>AD8.8. Have you ever paid for insurance or received payment from insurance using a Baitul Maal wat Tamwil (BMT)?</v>
      </c>
      <c r="C488" s="67" t="s">
        <v>125</v>
      </c>
      <c r="D488" s="114" t="s">
        <v>31</v>
      </c>
      <c r="E488" s="114">
        <v>1</v>
      </c>
      <c r="F488" s="51" t="s">
        <v>2033</v>
      </c>
      <c r="G488" s="9" t="str">
        <f t="shared" si="23"/>
        <v>AD8_8</v>
      </c>
      <c r="H488" s="122"/>
    </row>
    <row r="489" spans="1:8" s="123" customFormat="1" ht="28">
      <c r="A489" s="114" t="s">
        <v>2034</v>
      </c>
      <c r="B489" s="117" t="str">
        <f>A489&amp;". Have you ever paid for insurance using "&amp;Institution!I10&amp;"?"</f>
        <v>AD8.9. Have you ever paid for insurance using a debit or credit card?</v>
      </c>
      <c r="C489" s="67" t="s">
        <v>125</v>
      </c>
      <c r="D489" s="114" t="s">
        <v>31</v>
      </c>
      <c r="E489" s="114">
        <v>1</v>
      </c>
      <c r="F489" s="116" t="s">
        <v>2035</v>
      </c>
      <c r="G489" s="9" t="str">
        <f t="shared" si="23"/>
        <v>AD8_9</v>
      </c>
      <c r="H489" s="122"/>
    </row>
    <row r="490" spans="1:8" s="37" customFormat="1" ht="28">
      <c r="A490" s="114" t="s">
        <v>2036</v>
      </c>
      <c r="B490" s="117" t="str">
        <f>A490&amp;". Have you ever paid for insurance or received payment from insurance using "&amp;Institution!I11&amp;"?"</f>
        <v>AD8.10. Have you ever paid for insurance or received payment from insurance using cash?</v>
      </c>
      <c r="C490" s="67" t="s">
        <v>125</v>
      </c>
      <c r="D490" s="114" t="s">
        <v>31</v>
      </c>
      <c r="E490" s="114">
        <v>1</v>
      </c>
      <c r="F490" s="51" t="s">
        <v>2037</v>
      </c>
      <c r="G490" s="9" t="str">
        <f t="shared" si="23"/>
        <v>AD8_10</v>
      </c>
      <c r="H490" s="39"/>
    </row>
    <row r="491" spans="1:8" s="37" customFormat="1" ht="84">
      <c r="A491" s="114" t="s">
        <v>2038</v>
      </c>
      <c r="B491" s="67" t="str">
        <f>A491&amp;". When was the last time you paid for insurance or received payment from insurance using "&amp;Institution!I2&amp;"?"</f>
        <v>AD8.11. When was the last time you paid for insurance or received payment from insurance using a bank?</v>
      </c>
      <c r="C491" s="6" t="s">
        <v>1538</v>
      </c>
      <c r="D491" s="114" t="s">
        <v>31</v>
      </c>
      <c r="E491" s="114">
        <v>1</v>
      </c>
      <c r="F491" s="77" t="s">
        <v>2039</v>
      </c>
      <c r="G491" s="9" t="str">
        <f t="shared" si="23"/>
        <v>AD8_11</v>
      </c>
      <c r="H491" s="39"/>
    </row>
    <row r="492" spans="1:8" s="37" customFormat="1" ht="84">
      <c r="A492" s="114" t="s">
        <v>2040</v>
      </c>
      <c r="B492" s="69" t="str">
        <f>A492&amp;". When was the last time you paid for insurance or received payment from insurance using "&amp;Institution!I3&amp;"?"</f>
        <v>AD8.12. When was the last time you paid for insurance or received payment from insurance using a smartphone app?</v>
      </c>
      <c r="C492" s="6" t="s">
        <v>1538</v>
      </c>
      <c r="D492" s="114" t="s">
        <v>31</v>
      </c>
      <c r="E492" s="114">
        <v>1</v>
      </c>
      <c r="F492" s="77" t="s">
        <v>2041</v>
      </c>
      <c r="G492" s="9" t="str">
        <f>SUBSTITUTE(A492,".","_")</f>
        <v>AD8_12</v>
      </c>
      <c r="H492" s="39"/>
    </row>
    <row r="493" spans="1:8" s="37" customFormat="1" ht="84">
      <c r="A493" s="114" t="s">
        <v>2042</v>
      </c>
      <c r="B493" s="67" t="str">
        <f>A493&amp;". When was the last time you paid for insurance or received payment from insurance using "&amp;Institution!I4&amp;"?"</f>
        <v>AD8.13. When was the last time you paid for insurance or received payment from insurance using Pos Indonesia?</v>
      </c>
      <c r="C493" s="6" t="s">
        <v>1538</v>
      </c>
      <c r="D493" s="114" t="s">
        <v>31</v>
      </c>
      <c r="E493" s="114">
        <v>1</v>
      </c>
      <c r="F493" s="77" t="s">
        <v>2043</v>
      </c>
      <c r="G493" s="9" t="str">
        <f t="shared" si="23"/>
        <v>AD8_13</v>
      </c>
      <c r="H493" s="39"/>
    </row>
    <row r="494" spans="1:8" s="37" customFormat="1" ht="84">
      <c r="A494" s="114" t="s">
        <v>2044</v>
      </c>
      <c r="B494" s="117" t="str">
        <f>A494&amp;". When was the last time you paid for insurance or received payment from insurance using "&amp;Institution!I5&amp;"?"</f>
        <v>AD8.14. When was the last time you paid for insurance or received payment from insurance using a mobile money service?</v>
      </c>
      <c r="C494" s="6" t="s">
        <v>1538</v>
      </c>
      <c r="D494" s="114" t="s">
        <v>31</v>
      </c>
      <c r="E494" s="114">
        <v>1</v>
      </c>
      <c r="F494" s="77" t="s">
        <v>2045</v>
      </c>
      <c r="G494" s="9" t="str">
        <f t="shared" si="23"/>
        <v>AD8_14</v>
      </c>
      <c r="H494" s="39"/>
    </row>
    <row r="495" spans="1:8" s="37" customFormat="1" ht="84">
      <c r="A495" s="114" t="s">
        <v>2046</v>
      </c>
      <c r="B495" s="67" t="str">
        <f>A495&amp;". When was the last time you paid for insurance or received payment from insurance using "&amp;Institution!I6&amp;"?"</f>
        <v>AD8.15. When was the last time you paid for insurance or received payment from insurance using digital financial services (LKD) and/or Laku Pandai?</v>
      </c>
      <c r="C495" s="6" t="s">
        <v>1538</v>
      </c>
      <c r="D495" s="114" t="s">
        <v>31</v>
      </c>
      <c r="E495" s="119">
        <v>1</v>
      </c>
      <c r="F495" s="77" t="s">
        <v>2047</v>
      </c>
      <c r="G495" s="9" t="str">
        <f t="shared" si="23"/>
        <v>AD8_15</v>
      </c>
      <c r="H495" s="39"/>
    </row>
    <row r="496" spans="1:8" s="37" customFormat="1" ht="84">
      <c r="A496" s="114" t="s">
        <v>2048</v>
      </c>
      <c r="B496" s="67" t="str">
        <f>A496&amp;". When was the last time you paid for insurance or received payment from insurance using "&amp;Institution!I7&amp;"?"</f>
        <v>AD8.16. When was the last time you paid for insurance or received payment from insurance using a Bank Perkreditan Rakyat (BPR)?</v>
      </c>
      <c r="C496" s="6" t="s">
        <v>1538</v>
      </c>
      <c r="D496" s="114" t="s">
        <v>31</v>
      </c>
      <c r="E496" s="119">
        <v>1</v>
      </c>
      <c r="F496" s="77" t="s">
        <v>2049</v>
      </c>
      <c r="G496" s="9" t="str">
        <f t="shared" si="23"/>
        <v>AD8_16</v>
      </c>
      <c r="H496" s="39"/>
    </row>
    <row r="497" spans="1:23" s="37" customFormat="1" ht="84">
      <c r="A497" s="114" t="s">
        <v>2050</v>
      </c>
      <c r="B497" s="67" t="str">
        <f>A497&amp;". When was the last time you paid for insurance or received payment from insurance using "&amp;Institution!I8&amp;"?"</f>
        <v>AD8.17. When was the last time you paid for insurance or received payment from insurance using a koperasi (BMT, Credit Union, KSP), ventura or lembaga keungan mikro (LKM)?</v>
      </c>
      <c r="C497" s="6" t="s">
        <v>1538</v>
      </c>
      <c r="D497" s="114" t="s">
        <v>31</v>
      </c>
      <c r="E497" s="114">
        <v>1</v>
      </c>
      <c r="F497" s="77" t="s">
        <v>2051</v>
      </c>
      <c r="G497" s="9" t="str">
        <f t="shared" si="23"/>
        <v>AD8_17</v>
      </c>
      <c r="H497" s="39"/>
    </row>
    <row r="498" spans="1:23" s="37" customFormat="1" ht="84">
      <c r="A498" s="114" t="s">
        <v>2052</v>
      </c>
      <c r="B498" s="67" t="str">
        <f>A498&amp;". When was the last time you paid for insurance or received payment from insurance using "&amp;Institution!I9&amp;"?"</f>
        <v>AD8.18. When was the last time you paid for insurance or received payment from insurance using a Baitul Maal wat Tamwil (BMT)?</v>
      </c>
      <c r="C498" s="6" t="s">
        <v>1538</v>
      </c>
      <c r="D498" s="114" t="s">
        <v>31</v>
      </c>
      <c r="E498" s="114">
        <v>1</v>
      </c>
      <c r="F498" s="77" t="s">
        <v>2053</v>
      </c>
      <c r="G498" s="9" t="str">
        <f t="shared" si="23"/>
        <v>AD8_18</v>
      </c>
      <c r="H498" s="39"/>
    </row>
    <row r="499" spans="1:23" s="37" customFormat="1" ht="84">
      <c r="A499" s="114" t="s">
        <v>2054</v>
      </c>
      <c r="B499" s="117" t="str">
        <f>A499&amp;". When was the last time you paid for insurance using "&amp;Institution!I10&amp;"?"</f>
        <v>AD8.19. When was the last time you paid for insurance using a debit or credit card?</v>
      </c>
      <c r="C499" s="6" t="s">
        <v>1538</v>
      </c>
      <c r="D499" s="114" t="s">
        <v>31</v>
      </c>
      <c r="E499" s="114">
        <v>1</v>
      </c>
      <c r="F499" s="94" t="s">
        <v>2055</v>
      </c>
      <c r="G499" s="9" t="str">
        <f t="shared" si="23"/>
        <v>AD8_19</v>
      </c>
      <c r="H499" s="39"/>
    </row>
    <row r="500" spans="1:23" ht="84">
      <c r="A500" s="114" t="s">
        <v>2056</v>
      </c>
      <c r="B500" s="117" t="str">
        <f>A500&amp;". When was the last time you paid for insurance or received payment from insurance using "&amp;Institution!I11&amp;"?"</f>
        <v>AD8.20. When was the last time you paid for insurance or received payment from insurance using cash?</v>
      </c>
      <c r="C500" s="46" t="s">
        <v>1538</v>
      </c>
      <c r="D500" s="114" t="s">
        <v>31</v>
      </c>
      <c r="E500" s="114">
        <v>1</v>
      </c>
      <c r="F500" s="94" t="s">
        <v>2057</v>
      </c>
      <c r="G500" s="9" t="str">
        <f t="shared" si="23"/>
        <v>AD8_20</v>
      </c>
    </row>
    <row r="501" spans="1:23" ht="28">
      <c r="A501" s="5" t="s">
        <v>2058</v>
      </c>
      <c r="B501" s="6" t="str">
        <f>A501&amp;". Do you have any of the following types of insurance? "&amp;Other!O2</f>
        <v>FB27.1. Do you have any of the following types of insurance? Medical</v>
      </c>
      <c r="C501" s="6" t="s">
        <v>2059</v>
      </c>
      <c r="D501" s="5" t="s">
        <v>31</v>
      </c>
      <c r="E501" s="5">
        <v>1</v>
      </c>
      <c r="F501" s="6" t="s">
        <v>13</v>
      </c>
      <c r="G501" s="5" t="str">
        <f t="shared" si="23"/>
        <v>FB27_1</v>
      </c>
    </row>
    <row r="502" spans="1:23" ht="28">
      <c r="A502" s="5" t="s">
        <v>2060</v>
      </c>
      <c r="B502" s="6" t="str">
        <f>A502&amp;". Do you have any of the following types of insurance? "&amp;Other!O3</f>
        <v>FB27.2. Do you have any of the following types of insurance? Life</v>
      </c>
      <c r="C502" s="6" t="s">
        <v>2059</v>
      </c>
      <c r="D502" s="5" t="s">
        <v>31</v>
      </c>
      <c r="E502" s="5">
        <v>1</v>
      </c>
      <c r="F502" s="6" t="s">
        <v>13</v>
      </c>
      <c r="G502" s="5" t="str">
        <f t="shared" si="23"/>
        <v>FB27_2</v>
      </c>
    </row>
    <row r="503" spans="1:23" ht="28">
      <c r="A503" s="5" t="s">
        <v>2061</v>
      </c>
      <c r="B503" s="6" t="str">
        <f>A503&amp;". Do you have any of the following types of insurance? "&amp;Other!O4</f>
        <v>FB27.3. Do you have any of the following types of insurance? Car, vehicle</v>
      </c>
      <c r="C503" s="6" t="s">
        <v>2059</v>
      </c>
      <c r="D503" s="5" t="s">
        <v>31</v>
      </c>
      <c r="E503" s="5">
        <v>1</v>
      </c>
      <c r="F503" s="6" t="s">
        <v>13</v>
      </c>
      <c r="G503" s="5" t="str">
        <f t="shared" si="23"/>
        <v>FB27_3</v>
      </c>
    </row>
    <row r="504" spans="1:23" ht="28">
      <c r="A504" s="5" t="s">
        <v>2062</v>
      </c>
      <c r="B504" s="6" t="str">
        <f>A504&amp;". Do you have any of the following types of insurance? "&amp;Other!O5</f>
        <v>FB27.4. Do you have any of the following types of insurance? Agriculture</v>
      </c>
      <c r="C504" s="6" t="s">
        <v>2059</v>
      </c>
      <c r="D504" s="5" t="s">
        <v>31</v>
      </c>
      <c r="E504" s="5">
        <v>1</v>
      </c>
      <c r="F504" s="6" t="s">
        <v>13</v>
      </c>
      <c r="G504" s="5" t="str">
        <f t="shared" si="23"/>
        <v>FB27_4</v>
      </c>
    </row>
    <row r="505" spans="1:23" ht="28">
      <c r="A505" s="5" t="s">
        <v>2063</v>
      </c>
      <c r="B505" s="6" t="str">
        <f>A505&amp;". Do you have any of the following types of insurance? "&amp;Other!O6</f>
        <v>FB27.5. Do you have any of the following types of insurance? House/property/asset</v>
      </c>
      <c r="C505" s="6" t="s">
        <v>2059</v>
      </c>
      <c r="D505" s="5" t="s">
        <v>31</v>
      </c>
      <c r="E505" s="5">
        <v>1</v>
      </c>
      <c r="F505" s="6" t="s">
        <v>13</v>
      </c>
      <c r="G505" s="5" t="str">
        <f t="shared" si="23"/>
        <v>FB27_5</v>
      </c>
      <c r="I505" s="12"/>
      <c r="J505" s="12"/>
      <c r="K505" s="12"/>
      <c r="L505" s="12"/>
      <c r="M505" s="12"/>
      <c r="N505" s="12"/>
      <c r="O505" s="12"/>
      <c r="P505" s="12"/>
      <c r="Q505" s="12"/>
      <c r="R505" s="12"/>
      <c r="S505" s="12"/>
      <c r="T505" s="12"/>
      <c r="U505" s="12"/>
      <c r="V505" s="12"/>
      <c r="W505" s="12"/>
    </row>
    <row r="506" spans="1:23" s="1" customFormat="1" ht="28">
      <c r="A506" s="5" t="s">
        <v>2064</v>
      </c>
      <c r="B506" s="6" t="str">
        <f>A506&amp;". Do you have any of the following types of insurance? "&amp;Other!O7</f>
        <v>FB27.6. Do you have any of the following types of insurance? Agricultural/fisherman/livestock</v>
      </c>
      <c r="C506" s="6" t="s">
        <v>2059</v>
      </c>
      <c r="D506" s="5" t="s">
        <v>31</v>
      </c>
      <c r="E506" s="5">
        <v>1</v>
      </c>
      <c r="F506" s="6" t="s">
        <v>13</v>
      </c>
      <c r="G506" s="5" t="str">
        <f t="shared" si="23"/>
        <v>FB27_6</v>
      </c>
      <c r="H506" s="43"/>
    </row>
    <row r="507" spans="1:23" s="37" customFormat="1" ht="28">
      <c r="A507" s="5" t="s">
        <v>2065</v>
      </c>
      <c r="B507" s="6" t="str">
        <f>A507&amp;". Do you have any of the following types of insurance? "&amp;Other!O8</f>
        <v>FB27.7. Do you have any of the following types of insurance? Spousal or family insurance</v>
      </c>
      <c r="C507" s="6" t="s">
        <v>2059</v>
      </c>
      <c r="D507" s="5" t="s">
        <v>31</v>
      </c>
      <c r="E507" s="5">
        <v>1</v>
      </c>
      <c r="F507" s="6" t="s">
        <v>13</v>
      </c>
      <c r="G507" s="5" t="str">
        <f t="shared" si="23"/>
        <v>FB27_7</v>
      </c>
      <c r="H507" s="39"/>
    </row>
    <row r="508" spans="1:23" s="1" customFormat="1" ht="28">
      <c r="A508" s="98" t="s">
        <v>2066</v>
      </c>
      <c r="B508" s="72" t="str">
        <f>A508&amp;". Do you have any of the following types of insurance? "&amp;Other!O9</f>
        <v>FB27.8. Do you have any of the following types of insurance? Employment in case you use your job</v>
      </c>
      <c r="C508" s="72" t="s">
        <v>2059</v>
      </c>
      <c r="D508" s="98" t="s">
        <v>31</v>
      </c>
      <c r="E508" s="95">
        <v>1</v>
      </c>
      <c r="F508" s="72" t="s">
        <v>13</v>
      </c>
      <c r="G508" s="98" t="str">
        <f t="shared" si="23"/>
        <v>FB27_8</v>
      </c>
      <c r="H508" s="43"/>
    </row>
    <row r="509" spans="1:23" s="37" customFormat="1" ht="28">
      <c r="A509" s="95" t="s">
        <v>2067</v>
      </c>
      <c r="B509" s="72" t="str">
        <f>A509&amp;". Do you have any of the following types of insurance? "&amp;Other!O10</f>
        <v>FB27.9. Do you have any of the following types of insurance? Unit Link or bancasurrance</v>
      </c>
      <c r="C509" s="72" t="s">
        <v>2059</v>
      </c>
      <c r="D509" s="98" t="s">
        <v>31</v>
      </c>
      <c r="E509" s="98">
        <v>1</v>
      </c>
      <c r="F509" s="72" t="s">
        <v>13</v>
      </c>
      <c r="G509" s="98" t="str">
        <f t="shared" si="23"/>
        <v>FB27_9</v>
      </c>
      <c r="H509" s="39"/>
    </row>
    <row r="510" spans="1:23" s="37" customFormat="1" ht="28">
      <c r="A510" s="95" t="s">
        <v>2068</v>
      </c>
      <c r="B510" s="72" t="str">
        <f>A510&amp;". Do you have any of the following types of insurance? "&amp;Other!O11</f>
        <v>FB27.10. Do you have any of the following types of insurance? Education</v>
      </c>
      <c r="C510" s="72" t="s">
        <v>2059</v>
      </c>
      <c r="D510" s="98" t="s">
        <v>31</v>
      </c>
      <c r="E510" s="98">
        <v>1</v>
      </c>
      <c r="F510" s="72" t="s">
        <v>13</v>
      </c>
      <c r="G510" s="98" t="str">
        <f t="shared" si="23"/>
        <v>FB27_10</v>
      </c>
      <c r="H510" s="39"/>
    </row>
    <row r="511" spans="1:23" s="37" customFormat="1" ht="28">
      <c r="A511" s="95" t="s">
        <v>2069</v>
      </c>
      <c r="B511" s="72" t="str">
        <f>A511&amp;". Do you have any of the following types of insurance? "&amp;Other!O12</f>
        <v>FB27.11. Do you have any of the following types of insurance? Accident in case you get hurt and cannot work</v>
      </c>
      <c r="C511" s="72" t="s">
        <v>2059</v>
      </c>
      <c r="D511" s="98" t="s">
        <v>31</v>
      </c>
      <c r="E511" s="98">
        <v>1</v>
      </c>
      <c r="F511" s="72" t="s">
        <v>13</v>
      </c>
      <c r="G511" s="98" t="str">
        <f t="shared" si="23"/>
        <v>FB27_11</v>
      </c>
      <c r="H511" s="39"/>
    </row>
    <row r="512" spans="1:23" s="37" customFormat="1" ht="28">
      <c r="A512" s="95" t="s">
        <v>2070</v>
      </c>
      <c r="B512" s="72" t="str">
        <f>A512&amp;". Do you have any of the following types of insurance? "&amp;Other!O13</f>
        <v>FB27.12. Do you have any of the following types of insurance? Fire</v>
      </c>
      <c r="C512" s="72" t="s">
        <v>2059</v>
      </c>
      <c r="D512" s="98" t="s">
        <v>31</v>
      </c>
      <c r="E512" s="98">
        <v>1</v>
      </c>
      <c r="F512" s="72" t="s">
        <v>13</v>
      </c>
      <c r="G512" s="98" t="str">
        <f t="shared" si="23"/>
        <v>FB27_12</v>
      </c>
      <c r="H512" s="39"/>
    </row>
    <row r="513" spans="1:8" s="37" customFormat="1" ht="28">
      <c r="A513" s="95" t="s">
        <v>2071</v>
      </c>
      <c r="B513" s="72" t="str">
        <f>A513&amp;". Do you have any of the following types of insurance? "&amp;Other!O14</f>
        <v>FB27.13. Do you have any of the following types of insurance? Travel</v>
      </c>
      <c r="C513" s="72" t="s">
        <v>2059</v>
      </c>
      <c r="D513" s="98" t="s">
        <v>31</v>
      </c>
      <c r="E513" s="98">
        <v>1</v>
      </c>
      <c r="F513" s="72" t="s">
        <v>13</v>
      </c>
      <c r="G513" s="98" t="str">
        <f t="shared" si="23"/>
        <v>FB27_13</v>
      </c>
      <c r="H513" s="39"/>
    </row>
    <row r="514" spans="1:8" s="37" customFormat="1" ht="28">
      <c r="A514" s="95" t="s">
        <v>2072</v>
      </c>
      <c r="B514" s="72" t="str">
        <f>A514&amp;". Do you have any of the following types of insurance? "&amp;Other!O15</f>
        <v>FB27.14. Do you have any of the following types of insurance? Micro</v>
      </c>
      <c r="C514" s="72" t="s">
        <v>2059</v>
      </c>
      <c r="D514" s="98" t="s">
        <v>31</v>
      </c>
      <c r="E514" s="98">
        <v>1</v>
      </c>
      <c r="F514" s="72" t="s">
        <v>13</v>
      </c>
      <c r="G514" s="98" t="str">
        <f t="shared" si="23"/>
        <v>FB27_14</v>
      </c>
      <c r="H514" s="39"/>
    </row>
    <row r="515" spans="1:8" s="37" customFormat="1" ht="28">
      <c r="A515" s="98" t="s">
        <v>2073</v>
      </c>
      <c r="B515" s="72" t="str">
        <f>A515&amp;". Do you contribute money to a pension fund?"</f>
        <v>FB28.1. Do you contribute money to a pension fund?</v>
      </c>
      <c r="C515" s="72" t="s">
        <v>2059</v>
      </c>
      <c r="D515" s="98" t="s">
        <v>31</v>
      </c>
      <c r="E515" s="98">
        <v>1</v>
      </c>
      <c r="F515" s="72" t="s">
        <v>13</v>
      </c>
      <c r="G515" s="98" t="str">
        <f t="shared" si="23"/>
        <v>FB28_1</v>
      </c>
      <c r="H515" s="39"/>
    </row>
    <row r="516" spans="1:8" ht="50" customHeight="1">
      <c r="A516" s="98" t="s">
        <v>2074</v>
      </c>
      <c r="B516" s="72" t="str">
        <f>A516&amp;". Will you be entitled to recieve a pension when you retire?"</f>
        <v>FB28.2. Will you be entitled to recieve a pension when you retire?</v>
      </c>
      <c r="C516" s="72" t="s">
        <v>2059</v>
      </c>
      <c r="D516" s="98" t="s">
        <v>31</v>
      </c>
      <c r="E516" s="98">
        <v>1</v>
      </c>
      <c r="F516" s="72" t="s">
        <v>13</v>
      </c>
      <c r="G516" s="98" t="str">
        <f t="shared" si="23"/>
        <v>FB28_2</v>
      </c>
    </row>
    <row r="517" spans="1:8" ht="50" customHeight="1">
      <c r="A517" s="262" t="s">
        <v>2075</v>
      </c>
      <c r="B517" s="262"/>
      <c r="C517" s="262"/>
      <c r="D517" s="262"/>
      <c r="E517" s="262"/>
      <c r="F517" s="107" t="s">
        <v>13</v>
      </c>
      <c r="G517" s="107"/>
    </row>
    <row r="518" spans="1:8">
      <c r="A518" s="3" t="s">
        <v>2</v>
      </c>
      <c r="B518" s="4" t="s">
        <v>3</v>
      </c>
      <c r="C518" s="4" t="s">
        <v>4</v>
      </c>
      <c r="D518" s="3" t="s">
        <v>5</v>
      </c>
      <c r="E518" s="4" t="s">
        <v>6</v>
      </c>
      <c r="F518" s="4" t="s">
        <v>7</v>
      </c>
      <c r="G518" s="3" t="s">
        <v>8</v>
      </c>
    </row>
    <row r="519" spans="1:8" ht="28">
      <c r="A519" s="114" t="s">
        <v>2076</v>
      </c>
      <c r="B519" s="67" t="str">
        <f>A519&amp;". Have you ever "&amp;Activity!A10&amp;"?"</f>
        <v>AD9. Have you ever saved money?</v>
      </c>
      <c r="C519" s="67" t="s">
        <v>125</v>
      </c>
      <c r="D519" s="114" t="s">
        <v>31</v>
      </c>
      <c r="E519" s="114">
        <v>1</v>
      </c>
      <c r="F519" s="55" t="s">
        <v>13</v>
      </c>
      <c r="G519" s="9" t="str">
        <f>SUBSTITUTE(A519,".","_")</f>
        <v>AD9</v>
      </c>
    </row>
    <row r="520" spans="1:8" ht="28">
      <c r="A520" s="5" t="s">
        <v>2077</v>
      </c>
      <c r="B520" s="67" t="str">
        <f>A520&amp;". Do you currently have savings?"</f>
        <v>AD9A. Do you currently have savings?</v>
      </c>
      <c r="C520" s="6" t="s">
        <v>2059</v>
      </c>
      <c r="D520" s="5" t="s">
        <v>31</v>
      </c>
      <c r="E520" s="114">
        <v>1</v>
      </c>
      <c r="F520" s="124" t="s">
        <v>2078</v>
      </c>
      <c r="G520" s="9" t="str">
        <f>SUBSTITUTE(A520,".","_")</f>
        <v>AD9A</v>
      </c>
    </row>
    <row r="521" spans="1:8" ht="84">
      <c r="A521" s="5" t="s">
        <v>2079</v>
      </c>
      <c r="B521" s="67" t="str">
        <f>A521&amp;". When was the last time you put money in savings?"</f>
        <v>AD9B. When was the last time you put money in savings?</v>
      </c>
      <c r="C521" s="6" t="s">
        <v>1538</v>
      </c>
      <c r="D521" s="5" t="s">
        <v>31</v>
      </c>
      <c r="E521" s="114">
        <v>1</v>
      </c>
      <c r="F521" s="124" t="s">
        <v>2078</v>
      </c>
      <c r="G521" s="9" t="str">
        <f>SUBSTITUTE(A521,".","_")</f>
        <v>AD9B</v>
      </c>
    </row>
    <row r="522" spans="1:8" s="37" customFormat="1" ht="28">
      <c r="A522" s="114" t="s">
        <v>2080</v>
      </c>
      <c r="B522" s="67" t="str">
        <f>A522&amp;". Have you ever saved money using "&amp;Institution!J2&amp;"?"</f>
        <v>AD9.1. Have you ever saved money using a bank?</v>
      </c>
      <c r="C522" s="67" t="s">
        <v>125</v>
      </c>
      <c r="D522" s="114" t="s">
        <v>31</v>
      </c>
      <c r="E522" s="114">
        <v>1</v>
      </c>
      <c r="F522" s="51" t="s">
        <v>2081</v>
      </c>
      <c r="G522" s="9" t="str">
        <f t="shared" ref="G522:G543" si="24">SUBSTITUTE(A522,".","_")</f>
        <v>AD9_1</v>
      </c>
      <c r="H522" s="39"/>
    </row>
    <row r="523" spans="1:8" s="37" customFormat="1" ht="28">
      <c r="A523" s="114" t="s">
        <v>2082</v>
      </c>
      <c r="B523" s="69" t="str">
        <f>A523&amp;". Have you ever saved money using "&amp;Institution!J3&amp;"?"</f>
        <v>AD9.2. Have you ever saved money using a smartphone app?</v>
      </c>
      <c r="C523" s="67" t="s">
        <v>125</v>
      </c>
      <c r="D523" s="114" t="s">
        <v>31</v>
      </c>
      <c r="E523" s="114">
        <v>1</v>
      </c>
      <c r="F523" s="51" t="s">
        <v>2083</v>
      </c>
      <c r="G523" s="9" t="str">
        <f t="shared" si="24"/>
        <v>AD9_2</v>
      </c>
      <c r="H523" s="39"/>
    </row>
    <row r="524" spans="1:8" s="37" customFormat="1" ht="28">
      <c r="A524" s="114" t="s">
        <v>2084</v>
      </c>
      <c r="B524" s="117" t="str">
        <f>A524&amp;". Have you ever saved money using "&amp;Institution!J4&amp;"?"</f>
        <v>AD9.3. Have you ever saved money using Pos Indonesia?</v>
      </c>
      <c r="C524" s="67" t="s">
        <v>125</v>
      </c>
      <c r="D524" s="114" t="s">
        <v>31</v>
      </c>
      <c r="E524" s="114">
        <v>1</v>
      </c>
      <c r="F524" s="51" t="s">
        <v>2085</v>
      </c>
      <c r="G524" s="9" t="str">
        <f t="shared" si="24"/>
        <v>AD9_3</v>
      </c>
      <c r="H524" s="39"/>
    </row>
    <row r="525" spans="1:8" s="37" customFormat="1" ht="28">
      <c r="A525" s="114" t="s">
        <v>2086</v>
      </c>
      <c r="B525" s="117" t="str">
        <f>A525&amp;". Have you ever saved money using "&amp;Institution!J5&amp;"?"</f>
        <v>AD9.4. Have you ever saved money using a mobile money service?</v>
      </c>
      <c r="C525" s="67" t="s">
        <v>125</v>
      </c>
      <c r="D525" s="114" t="s">
        <v>31</v>
      </c>
      <c r="E525" s="114">
        <v>1</v>
      </c>
      <c r="F525" s="51" t="s">
        <v>2087</v>
      </c>
      <c r="G525" s="9" t="str">
        <f t="shared" si="24"/>
        <v>AD9_4</v>
      </c>
      <c r="H525" s="39"/>
    </row>
    <row r="526" spans="1:8" s="37" customFormat="1" ht="28">
      <c r="A526" s="114" t="s">
        <v>2088</v>
      </c>
      <c r="B526" s="117" t="str">
        <f>A526&amp;". Have you ever saved money using "&amp;Institution!J6&amp;"?"</f>
        <v>AD9.5. Have you ever saved money using digital financial services (LKD) and/or Laku Pandai?</v>
      </c>
      <c r="C526" s="67" t="s">
        <v>125</v>
      </c>
      <c r="D526" s="114" t="s">
        <v>31</v>
      </c>
      <c r="E526" s="114">
        <v>1</v>
      </c>
      <c r="F526" s="51" t="s">
        <v>2089</v>
      </c>
      <c r="G526" s="9" t="str">
        <f t="shared" si="24"/>
        <v>AD9_5</v>
      </c>
      <c r="H526" s="39"/>
    </row>
    <row r="527" spans="1:8" ht="28">
      <c r="A527" s="114" t="s">
        <v>2090</v>
      </c>
      <c r="B527" s="117" t="str">
        <f>A527&amp;". Have you ever saved money using "&amp;Institution!J7&amp;"?"</f>
        <v>AD9.6. Have you ever saved money using a Bank Perkreditan Rakyat (BPR)?</v>
      </c>
      <c r="C527" s="67" t="s">
        <v>125</v>
      </c>
      <c r="D527" s="114" t="s">
        <v>31</v>
      </c>
      <c r="E527" s="114">
        <v>1</v>
      </c>
      <c r="F527" s="51" t="s">
        <v>2091</v>
      </c>
      <c r="G527" s="9" t="str">
        <f t="shared" si="24"/>
        <v>AD9_6</v>
      </c>
    </row>
    <row r="528" spans="1:8" ht="28">
      <c r="A528" s="114" t="s">
        <v>2092</v>
      </c>
      <c r="B528" s="117" t="str">
        <f>A528&amp;". Have you ever saved money using "&amp;Institution!J8&amp;"?"</f>
        <v>AD9.7. Have you ever saved money using a koperasi (BMT, Credit Union, KSP), ventura or lembaga keungan mikro (LKM)?</v>
      </c>
      <c r="C528" s="67" t="s">
        <v>125</v>
      </c>
      <c r="D528" s="114" t="s">
        <v>31</v>
      </c>
      <c r="E528" s="114">
        <v>1</v>
      </c>
      <c r="F528" s="51" t="s">
        <v>2093</v>
      </c>
      <c r="G528" s="9" t="str">
        <f t="shared" si="24"/>
        <v>AD9_7</v>
      </c>
    </row>
    <row r="529" spans="1:8" ht="28">
      <c r="A529" s="114" t="s">
        <v>2094</v>
      </c>
      <c r="B529" s="117" t="str">
        <f>A529&amp;". Have you ever saved money using "&amp;Institution!J9&amp;"?"</f>
        <v>AD9.8. Have you ever saved money using a Baitul Maal wat Tamwil (BMT)?</v>
      </c>
      <c r="C529" s="67" t="s">
        <v>125</v>
      </c>
      <c r="D529" s="114" t="s">
        <v>31</v>
      </c>
      <c r="E529" s="114">
        <v>1</v>
      </c>
      <c r="F529" s="51" t="s">
        <v>2095</v>
      </c>
      <c r="G529" s="9" t="str">
        <f t="shared" si="24"/>
        <v>AD9_8</v>
      </c>
    </row>
    <row r="530" spans="1:8" ht="28">
      <c r="A530" s="114" t="s">
        <v>2096</v>
      </c>
      <c r="B530" s="117" t="str">
        <f>A530&amp;". Have you ever saved money using "&amp;Institution!J10&amp;"?"</f>
        <v>AD9.9. Have you ever saved money using a pawnshop?</v>
      </c>
      <c r="C530" s="67" t="s">
        <v>125</v>
      </c>
      <c r="D530" s="114" t="s">
        <v>31</v>
      </c>
      <c r="E530" s="114">
        <v>1</v>
      </c>
      <c r="F530" s="51" t="s">
        <v>2097</v>
      </c>
      <c r="G530" s="9" t="str">
        <f t="shared" si="24"/>
        <v>AD9_9</v>
      </c>
    </row>
    <row r="531" spans="1:8" ht="28">
      <c r="A531" s="114" t="s">
        <v>2098</v>
      </c>
      <c r="B531" s="117" t="str">
        <f>A531&amp;". Have you ever saved money using "&amp;Institution!J11&amp;"?"</f>
        <v>AD9.10. Have you ever saved money using arisan, money guard, or other informal financial groups?</v>
      </c>
      <c r="C531" s="67" t="s">
        <v>125</v>
      </c>
      <c r="D531" s="114" t="s">
        <v>31</v>
      </c>
      <c r="E531" s="114">
        <v>1</v>
      </c>
      <c r="F531" s="116" t="s">
        <v>2099</v>
      </c>
      <c r="G531" s="9" t="str">
        <f t="shared" si="24"/>
        <v>AD9_10</v>
      </c>
    </row>
    <row r="532" spans="1:8" ht="28">
      <c r="A532" s="114" t="s">
        <v>2100</v>
      </c>
      <c r="B532" s="117" t="str">
        <f>A532&amp;". Have you ever saved money using "&amp;Institution!J12&amp;"?"</f>
        <v>AD9.11. Have you ever saved money using in cash in a safe place at home or on your person?</v>
      </c>
      <c r="C532" s="67" t="s">
        <v>125</v>
      </c>
      <c r="D532" s="114" t="s">
        <v>31</v>
      </c>
      <c r="E532" s="114">
        <v>1</v>
      </c>
      <c r="F532" s="116" t="s">
        <v>2078</v>
      </c>
      <c r="G532" s="9" t="str">
        <f t="shared" si="24"/>
        <v>AD9_11</v>
      </c>
    </row>
    <row r="533" spans="1:8" s="37" customFormat="1" ht="84">
      <c r="A533" s="118" t="s">
        <v>2101</v>
      </c>
      <c r="B533" s="117" t="str">
        <f>A533&amp;". When was the last time you saved money using "&amp;Institution!J2&amp;"?"</f>
        <v>AD9.12. When was the last time you saved money using a bank?</v>
      </c>
      <c r="C533" s="6" t="s">
        <v>1538</v>
      </c>
      <c r="D533" s="114" t="s">
        <v>31</v>
      </c>
      <c r="E533" s="114">
        <v>1</v>
      </c>
      <c r="F533" s="55" t="s">
        <v>2102</v>
      </c>
      <c r="G533" s="9" t="str">
        <f t="shared" si="24"/>
        <v>AD9_12</v>
      </c>
      <c r="H533" s="39"/>
    </row>
    <row r="534" spans="1:8" s="37" customFormat="1" ht="50" customHeight="1">
      <c r="A534" s="118" t="s">
        <v>2103</v>
      </c>
      <c r="B534" s="69" t="str">
        <f>A534&amp;". When was the last time you saved money using "&amp;Institution!J3&amp;"?"</f>
        <v>AD9.13. When was the last time you saved money using a smartphone app?</v>
      </c>
      <c r="C534" s="6" t="s">
        <v>1538</v>
      </c>
      <c r="D534" s="114" t="s">
        <v>31</v>
      </c>
      <c r="E534" s="114">
        <v>1</v>
      </c>
      <c r="F534" s="55" t="s">
        <v>2104</v>
      </c>
      <c r="G534" s="9" t="str">
        <f t="shared" si="24"/>
        <v>AD9_13</v>
      </c>
      <c r="H534" s="39"/>
    </row>
    <row r="535" spans="1:8" ht="84">
      <c r="A535" s="118" t="s">
        <v>2105</v>
      </c>
      <c r="B535" s="117" t="str">
        <f>A535&amp;". When was the last time you saved money using "&amp;Institution!J4&amp;"?"</f>
        <v>AD9.14. When was the last time you saved money using Pos Indonesia?</v>
      </c>
      <c r="C535" s="6" t="s">
        <v>1538</v>
      </c>
      <c r="D535" s="114" t="s">
        <v>31</v>
      </c>
      <c r="E535" s="114">
        <v>1</v>
      </c>
      <c r="F535" s="55" t="s">
        <v>2106</v>
      </c>
      <c r="G535" s="9" t="str">
        <f t="shared" si="24"/>
        <v>AD9_14</v>
      </c>
    </row>
    <row r="536" spans="1:8" ht="84">
      <c r="A536" s="118" t="s">
        <v>2107</v>
      </c>
      <c r="B536" s="117" t="str">
        <f>A536&amp;". When was the last time you saved money using "&amp;Institution!J5&amp;"?"</f>
        <v>AD9.15. When was the last time you saved money using a mobile money service?</v>
      </c>
      <c r="C536" s="6" t="s">
        <v>1538</v>
      </c>
      <c r="D536" s="114" t="s">
        <v>31</v>
      </c>
      <c r="E536" s="114">
        <v>1</v>
      </c>
      <c r="F536" s="55" t="s">
        <v>2108</v>
      </c>
      <c r="G536" s="9" t="str">
        <f t="shared" si="24"/>
        <v>AD9_15</v>
      </c>
    </row>
    <row r="537" spans="1:8" ht="84">
      <c r="A537" s="118" t="s">
        <v>2109</v>
      </c>
      <c r="B537" s="117" t="str">
        <f>A537&amp;". When was the last time you saved money using "&amp;Institution!J6&amp;"?"</f>
        <v>AD9.16. When was the last time you saved money using digital financial services (LKD) and/or Laku Pandai?</v>
      </c>
      <c r="C537" s="6" t="s">
        <v>1538</v>
      </c>
      <c r="D537" s="114" t="s">
        <v>31</v>
      </c>
      <c r="E537" s="114">
        <v>1</v>
      </c>
      <c r="F537" s="55" t="s">
        <v>2110</v>
      </c>
      <c r="G537" s="9" t="str">
        <f t="shared" si="24"/>
        <v>AD9_16</v>
      </c>
    </row>
    <row r="538" spans="1:8" ht="84">
      <c r="A538" s="118" t="s">
        <v>2111</v>
      </c>
      <c r="B538" s="117" t="str">
        <f>A538&amp;". When was the last time you saved money using "&amp;Institution!J7&amp;"?"</f>
        <v>AD9.17. When was the last time you saved money using a Bank Perkreditan Rakyat (BPR)?</v>
      </c>
      <c r="C538" s="6" t="s">
        <v>1538</v>
      </c>
      <c r="D538" s="114" t="s">
        <v>31</v>
      </c>
      <c r="E538" s="114">
        <v>1</v>
      </c>
      <c r="F538" s="55" t="s">
        <v>2112</v>
      </c>
      <c r="G538" s="9" t="str">
        <f t="shared" si="24"/>
        <v>AD9_17</v>
      </c>
    </row>
    <row r="539" spans="1:8" ht="84">
      <c r="A539" s="118" t="s">
        <v>2113</v>
      </c>
      <c r="B539" s="117" t="str">
        <f>A539&amp;". When was the last time you saved money using "&amp;Institution!J8&amp;"?"</f>
        <v>AD9.18. When was the last time you saved money using a koperasi (BMT, Credit Union, KSP), ventura or lembaga keungan mikro (LKM)?</v>
      </c>
      <c r="C539" s="6" t="s">
        <v>1538</v>
      </c>
      <c r="D539" s="114" t="s">
        <v>31</v>
      </c>
      <c r="E539" s="114">
        <v>1</v>
      </c>
      <c r="F539" s="55" t="s">
        <v>2114</v>
      </c>
      <c r="G539" s="9" t="str">
        <f t="shared" si="24"/>
        <v>AD9_18</v>
      </c>
    </row>
    <row r="540" spans="1:8" ht="84">
      <c r="A540" s="118" t="s">
        <v>2115</v>
      </c>
      <c r="B540" s="117" t="str">
        <f>A540&amp;". When was the last time you saved money using "&amp;Institution!J9&amp;"?"</f>
        <v>AD9.19. When was the last time you saved money using a Baitul Maal wat Tamwil (BMT)?</v>
      </c>
      <c r="C540" s="6" t="s">
        <v>1538</v>
      </c>
      <c r="D540" s="114" t="s">
        <v>31</v>
      </c>
      <c r="E540" s="114">
        <v>1</v>
      </c>
      <c r="F540" s="55" t="s">
        <v>2116</v>
      </c>
      <c r="G540" s="9" t="str">
        <f t="shared" si="24"/>
        <v>AD9_19</v>
      </c>
    </row>
    <row r="541" spans="1:8" s="37" customFormat="1" ht="84">
      <c r="A541" s="118" t="s">
        <v>2117</v>
      </c>
      <c r="B541" s="117" t="str">
        <f>A541&amp;". When was the last time you saved money using "&amp;Institution!J10&amp;"?"</f>
        <v>AD9.20. When was the last time you saved money using a pawnshop?</v>
      </c>
      <c r="C541" s="6" t="s">
        <v>1538</v>
      </c>
      <c r="D541" s="114" t="s">
        <v>31</v>
      </c>
      <c r="E541" s="114">
        <v>1</v>
      </c>
      <c r="F541" s="55" t="s">
        <v>2118</v>
      </c>
      <c r="G541" s="9" t="str">
        <f t="shared" si="24"/>
        <v>AD9_20</v>
      </c>
      <c r="H541" s="39"/>
    </row>
    <row r="542" spans="1:8" s="37" customFormat="1" ht="84">
      <c r="A542" s="118" t="s">
        <v>2119</v>
      </c>
      <c r="B542" s="117" t="str">
        <f>A542&amp;". When was the last time you saved money using "&amp;Institution!J11&amp;"?"</f>
        <v>AD9.21. When was the last time you saved money using arisan, money guard, or other informal financial groups?</v>
      </c>
      <c r="C542" s="6" t="s">
        <v>1538</v>
      </c>
      <c r="D542" s="5" t="s">
        <v>31</v>
      </c>
      <c r="E542" s="5">
        <v>1</v>
      </c>
      <c r="F542" s="55" t="s">
        <v>2120</v>
      </c>
      <c r="G542" s="9" t="str">
        <f t="shared" si="24"/>
        <v>AD9_21</v>
      </c>
      <c r="H542" s="39"/>
    </row>
    <row r="543" spans="1:8" s="37" customFormat="1" ht="55.5" customHeight="1">
      <c r="A543" s="118" t="s">
        <v>2121</v>
      </c>
      <c r="B543" s="117" t="str">
        <f>A543&amp;". When was the last time you saved money using "&amp;Institution!J12&amp;"?"</f>
        <v>AD9.22. When was the last time you saved money using in cash in a safe place at home or on your person?</v>
      </c>
      <c r="C543" s="6" t="s">
        <v>1538</v>
      </c>
      <c r="D543" s="5" t="s">
        <v>31</v>
      </c>
      <c r="E543" s="5">
        <v>1</v>
      </c>
      <c r="F543" s="94" t="s">
        <v>2122</v>
      </c>
      <c r="G543" s="9" t="str">
        <f t="shared" si="24"/>
        <v>AD9_22</v>
      </c>
      <c r="H543" s="39"/>
    </row>
    <row r="544" spans="1:8" s="37" customFormat="1" ht="50" customHeight="1">
      <c r="A544" s="262" t="s">
        <v>2123</v>
      </c>
      <c r="B544" s="262"/>
      <c r="C544" s="262"/>
      <c r="D544" s="262"/>
      <c r="E544" s="262"/>
      <c r="F544" s="49" t="s">
        <v>13</v>
      </c>
      <c r="G544" s="49"/>
      <c r="H544" s="39"/>
    </row>
    <row r="545" spans="1:8" s="37" customFormat="1">
      <c r="A545" s="3" t="s">
        <v>2</v>
      </c>
      <c r="B545" s="4" t="s">
        <v>3</v>
      </c>
      <c r="C545" s="4" t="s">
        <v>4</v>
      </c>
      <c r="D545" s="3" t="s">
        <v>5</v>
      </c>
      <c r="E545" s="4" t="s">
        <v>6</v>
      </c>
      <c r="F545" s="4" t="s">
        <v>7</v>
      </c>
      <c r="G545" s="3" t="s">
        <v>8</v>
      </c>
      <c r="H545" s="39"/>
    </row>
    <row r="546" spans="1:8" s="37" customFormat="1" ht="28">
      <c r="A546" s="5" t="s">
        <v>959</v>
      </c>
      <c r="B546" s="6" t="str">
        <f>A546&amp;". Have you ever made an investment?"</f>
        <v>AD10. Have you ever made an investment?</v>
      </c>
      <c r="C546" s="6" t="s">
        <v>2059</v>
      </c>
      <c r="D546" s="5" t="s">
        <v>31</v>
      </c>
      <c r="E546" s="5">
        <v>1</v>
      </c>
      <c r="F546" s="6" t="s">
        <v>13</v>
      </c>
      <c r="G546" s="5" t="str">
        <f t="shared" ref="G546:G579" si="25">SUBSTITUTE(A546,".","_")</f>
        <v>AD10</v>
      </c>
      <c r="H546" s="39"/>
    </row>
    <row r="547" spans="1:8" s="37" customFormat="1" ht="28">
      <c r="A547" s="5" t="s">
        <v>2124</v>
      </c>
      <c r="B547" s="6" t="str">
        <f>A547&amp;". Have you ever made an investment in any of the following places? "&amp;Other!P2</f>
        <v>AD10.1. Have you ever made an investment in any of the following places? a business you own</v>
      </c>
      <c r="C547" s="6" t="s">
        <v>2059</v>
      </c>
      <c r="D547" s="5" t="s">
        <v>31</v>
      </c>
      <c r="E547" s="5">
        <v>1</v>
      </c>
      <c r="F547" s="6" t="s">
        <v>2125</v>
      </c>
      <c r="G547" s="5" t="str">
        <f t="shared" si="25"/>
        <v>AD10_1</v>
      </c>
      <c r="H547" s="39"/>
    </row>
    <row r="548" spans="1:8" s="37" customFormat="1" ht="28">
      <c r="A548" s="5" t="s">
        <v>2126</v>
      </c>
      <c r="B548" s="6" t="str">
        <f>A548&amp;". Have you ever made an investment in any of the following places? "&amp;Other!P3</f>
        <v>AD10.2. Have you ever made an investment in any of the following places? a business owned by someone you know</v>
      </c>
      <c r="C548" s="6" t="s">
        <v>2059</v>
      </c>
      <c r="D548" s="5" t="s">
        <v>31</v>
      </c>
      <c r="E548" s="5">
        <v>1</v>
      </c>
      <c r="F548" s="6" t="s">
        <v>2125</v>
      </c>
      <c r="G548" s="5" t="str">
        <f t="shared" si="25"/>
        <v>AD10_2</v>
      </c>
      <c r="H548" s="39"/>
    </row>
    <row r="549" spans="1:8" s="37" customFormat="1" ht="28">
      <c r="A549" s="5" t="s">
        <v>2127</v>
      </c>
      <c r="B549" s="6" t="str">
        <f>A549&amp;". Have you ever made an investment in any of the following places? "&amp;Other!P4</f>
        <v xml:space="preserve">AD10.3. Have you ever made an investment in any of the following places? a Indonesian enterprise where you bought shares </v>
      </c>
      <c r="C549" s="6" t="s">
        <v>2059</v>
      </c>
      <c r="D549" s="5" t="s">
        <v>31</v>
      </c>
      <c r="E549" s="5">
        <v>1</v>
      </c>
      <c r="F549" s="6" t="s">
        <v>2125</v>
      </c>
      <c r="G549" s="5" t="str">
        <f t="shared" si="25"/>
        <v>AD10_3</v>
      </c>
      <c r="H549" s="39"/>
    </row>
    <row r="550" spans="1:8" s="37" customFormat="1" ht="28">
      <c r="A550" s="5" t="s">
        <v>2128</v>
      </c>
      <c r="B550" s="6" t="str">
        <f>A550&amp;". Have you ever made an investment in any of the following places? "&amp;Other!P5</f>
        <v>AD10.4. Have you ever made an investment in any of the following places? a foreign enterprise where you bought shares</v>
      </c>
      <c r="C550" s="6" t="s">
        <v>2059</v>
      </c>
      <c r="D550" s="5" t="s">
        <v>31</v>
      </c>
      <c r="E550" s="5">
        <v>1</v>
      </c>
      <c r="F550" s="6" t="s">
        <v>2125</v>
      </c>
      <c r="G550" s="5" t="str">
        <f t="shared" si="25"/>
        <v>AD10_4</v>
      </c>
      <c r="H550" s="39"/>
    </row>
    <row r="551" spans="1:8" s="37" customFormat="1" ht="28">
      <c r="A551" s="5" t="s">
        <v>2129</v>
      </c>
      <c r="B551" s="72" t="str">
        <f>A551&amp;". Have you ever made an investment in any of the following places? "&amp;Other!P6</f>
        <v>AD10.5. Have you ever made an investment in any of the following places? government bonds/Islamic bonds (e.g. Indonesian Retail Bonds (ORI), Sukri)</v>
      </c>
      <c r="C551" s="6" t="s">
        <v>2059</v>
      </c>
      <c r="D551" s="5" t="s">
        <v>31</v>
      </c>
      <c r="E551" s="5">
        <v>1</v>
      </c>
      <c r="F551" s="6" t="s">
        <v>2125</v>
      </c>
      <c r="G551" s="5" t="str">
        <f t="shared" si="25"/>
        <v>AD10_5</v>
      </c>
      <c r="H551" s="39"/>
    </row>
    <row r="552" spans="1:8" s="37" customFormat="1" ht="28">
      <c r="A552" s="5" t="s">
        <v>2130</v>
      </c>
      <c r="B552" s="6" t="str">
        <f>A552&amp;". Have you ever made an investment in any of the following places? "&amp;Other!P7</f>
        <v>AD10.6. Have you ever made an investment in any of the following places? land, house, or other property</v>
      </c>
      <c r="C552" s="6" t="s">
        <v>2059</v>
      </c>
      <c r="D552" s="5" t="s">
        <v>31</v>
      </c>
      <c r="E552" s="5">
        <v>1</v>
      </c>
      <c r="F552" s="6" t="s">
        <v>2125</v>
      </c>
      <c r="G552" s="5" t="str">
        <f t="shared" si="25"/>
        <v>AD10_6</v>
      </c>
      <c r="H552" s="39"/>
    </row>
    <row r="553" spans="1:8" s="37" customFormat="1" ht="28">
      <c r="A553" s="5" t="s">
        <v>2131</v>
      </c>
      <c r="B553" s="6" t="str">
        <f>A553&amp;". Have you ever made an investment in any of the following places? "&amp;Other!P8</f>
        <v>AD10.7. Have you ever made an investment in any of the following places? gold, gems, art, or other things of value</v>
      </c>
      <c r="C553" s="67" t="s">
        <v>125</v>
      </c>
      <c r="D553" s="114" t="s">
        <v>31</v>
      </c>
      <c r="E553" s="114">
        <v>1</v>
      </c>
      <c r="F553" s="6" t="s">
        <v>2125</v>
      </c>
      <c r="G553" s="5" t="str">
        <f t="shared" si="25"/>
        <v>AD10_7</v>
      </c>
      <c r="H553" s="39"/>
    </row>
    <row r="554" spans="1:8" s="37" customFormat="1" ht="28">
      <c r="A554" s="5" t="s">
        <v>2132</v>
      </c>
      <c r="B554" s="6" t="str">
        <f>A554&amp;". Have you ever made an investment in any of the following places? "&amp;Other!P9</f>
        <v>AD10.8. Have you ever made an investment in any of the following places? another place not on my list</v>
      </c>
      <c r="C554" s="67" t="s">
        <v>125</v>
      </c>
      <c r="D554" s="114" t="s">
        <v>31</v>
      </c>
      <c r="E554" s="114">
        <v>1</v>
      </c>
      <c r="F554" s="6" t="s">
        <v>2125</v>
      </c>
      <c r="G554" s="5" t="str">
        <f t="shared" si="25"/>
        <v>AD10_8</v>
      </c>
      <c r="H554" s="39"/>
    </row>
    <row r="555" spans="1:8" s="37" customFormat="1" ht="84">
      <c r="A555" s="5" t="s">
        <v>2133</v>
      </c>
      <c r="B555" s="67" t="str">
        <f>A555&amp;". When was the last time you made an investment in "&amp;Other!P2&amp;"?"</f>
        <v>AD10.9. When was the last time you made an investment in a business you own?</v>
      </c>
      <c r="C555" s="6" t="s">
        <v>1538</v>
      </c>
      <c r="D555" s="114" t="s">
        <v>31</v>
      </c>
      <c r="E555" s="114">
        <v>1</v>
      </c>
      <c r="F555" s="55" t="s">
        <v>2134</v>
      </c>
      <c r="G555" s="5" t="str">
        <f t="shared" si="25"/>
        <v>AD10_9</v>
      </c>
      <c r="H555" s="39"/>
    </row>
    <row r="556" spans="1:8" s="37" customFormat="1" ht="84">
      <c r="A556" s="5" t="s">
        <v>2135</v>
      </c>
      <c r="B556" s="67" t="str">
        <f>A556&amp;". When was the last time you made an investment in "&amp;Other!P3&amp;"?"</f>
        <v>AD10.10. When was the last time you made an investment in a business owned by someone you know?</v>
      </c>
      <c r="C556" s="6" t="s">
        <v>1538</v>
      </c>
      <c r="D556" s="114" t="s">
        <v>31</v>
      </c>
      <c r="E556" s="114">
        <v>1</v>
      </c>
      <c r="F556" s="55" t="s">
        <v>2136</v>
      </c>
      <c r="G556" s="5" t="str">
        <f t="shared" si="25"/>
        <v>AD10_10</v>
      </c>
      <c r="H556" s="39"/>
    </row>
    <row r="557" spans="1:8" s="37" customFormat="1" ht="84">
      <c r="A557" s="5" t="s">
        <v>2137</v>
      </c>
      <c r="B557" s="67" t="str">
        <f>A557&amp;". When was the last time you made an investment in "&amp;Other!P4&amp;"?"</f>
        <v>AD10.11. When was the last time you made an investment in a Indonesian enterprise where you bought shares ?</v>
      </c>
      <c r="C557" s="6" t="s">
        <v>1538</v>
      </c>
      <c r="D557" s="114" t="s">
        <v>31</v>
      </c>
      <c r="E557" s="114">
        <v>1</v>
      </c>
      <c r="F557" s="55" t="s">
        <v>2138</v>
      </c>
      <c r="G557" s="5" t="str">
        <f t="shared" si="25"/>
        <v>AD10_11</v>
      </c>
      <c r="H557" s="39"/>
    </row>
    <row r="558" spans="1:8" s="37" customFormat="1" ht="84">
      <c r="A558" s="5" t="s">
        <v>2139</v>
      </c>
      <c r="B558" s="67" t="str">
        <f>A558&amp;". When was the last time you made an investment in "&amp;Other!P5&amp;"?"</f>
        <v>AD10.12. When was the last time you made an investment in a foreign enterprise where you bought shares?</v>
      </c>
      <c r="C558" s="6" t="s">
        <v>1538</v>
      </c>
      <c r="D558" s="114" t="s">
        <v>31</v>
      </c>
      <c r="E558" s="114">
        <v>1</v>
      </c>
      <c r="F558" s="55" t="s">
        <v>2140</v>
      </c>
      <c r="G558" s="5" t="str">
        <f t="shared" si="25"/>
        <v>AD10_12</v>
      </c>
      <c r="H558" s="39"/>
    </row>
    <row r="559" spans="1:8" s="37" customFormat="1" ht="84">
      <c r="A559" s="5" t="s">
        <v>2141</v>
      </c>
      <c r="B559" s="67" t="str">
        <f>A559&amp;". When was the last time you made an investment in "&amp;Other!P6&amp;"?"</f>
        <v>AD10.13. When was the last time you made an investment in government bonds/Islamic bonds (e.g. Indonesian Retail Bonds (ORI), Sukri)?</v>
      </c>
      <c r="C559" s="6" t="s">
        <v>1538</v>
      </c>
      <c r="D559" s="114" t="s">
        <v>31</v>
      </c>
      <c r="E559" s="114">
        <v>1</v>
      </c>
      <c r="F559" s="55" t="s">
        <v>2142</v>
      </c>
      <c r="G559" s="5" t="str">
        <f t="shared" si="25"/>
        <v>AD10_13</v>
      </c>
      <c r="H559" s="39"/>
    </row>
    <row r="560" spans="1:8" s="37" customFormat="1" ht="84">
      <c r="A560" s="5" t="s">
        <v>2143</v>
      </c>
      <c r="B560" s="67" t="str">
        <f>A560&amp;". When was the last time you made an investment in "&amp;Other!P7&amp;"?"</f>
        <v>AD10.14. When was the last time you made an investment in land, house, or other property?</v>
      </c>
      <c r="C560" s="6" t="s">
        <v>1538</v>
      </c>
      <c r="D560" s="114" t="s">
        <v>31</v>
      </c>
      <c r="E560" s="114">
        <v>1</v>
      </c>
      <c r="F560" s="55" t="s">
        <v>2144</v>
      </c>
      <c r="G560" s="5" t="str">
        <f t="shared" si="25"/>
        <v>AD10_14</v>
      </c>
      <c r="H560" s="39"/>
    </row>
    <row r="561" spans="1:8" s="37" customFormat="1" ht="84">
      <c r="A561" s="5" t="s">
        <v>2145</v>
      </c>
      <c r="B561" s="67" t="str">
        <f>A561&amp;". When was the last time you made an investment in "&amp;Other!P8&amp;"?"</f>
        <v>AD10.15. When was the last time you made an investment in gold, gems, art, or other things of value?</v>
      </c>
      <c r="C561" s="6" t="s">
        <v>1538</v>
      </c>
      <c r="D561" s="114" t="s">
        <v>31</v>
      </c>
      <c r="E561" s="114">
        <v>1</v>
      </c>
      <c r="F561" s="55" t="s">
        <v>2146</v>
      </c>
      <c r="G561" s="5" t="str">
        <f t="shared" si="25"/>
        <v>AD10_15</v>
      </c>
      <c r="H561" s="39"/>
    </row>
    <row r="562" spans="1:8" s="37" customFormat="1" ht="84">
      <c r="A562" s="5" t="s">
        <v>2147</v>
      </c>
      <c r="B562" s="67" t="str">
        <f>A562&amp;". When was the last time you made an investment in "&amp;Other!P9&amp;"?"</f>
        <v>AD10.16. When was the last time you made an investment in another place not on my list?</v>
      </c>
      <c r="C562" s="6" t="s">
        <v>1538</v>
      </c>
      <c r="D562" s="114" t="s">
        <v>31</v>
      </c>
      <c r="E562" s="119">
        <v>1</v>
      </c>
      <c r="F562" s="55" t="s">
        <v>2148</v>
      </c>
      <c r="G562" s="5" t="str">
        <f t="shared" si="25"/>
        <v>AD10_16</v>
      </c>
      <c r="H562" s="39"/>
    </row>
    <row r="563" spans="1:8" s="37" customFormat="1" ht="28">
      <c r="A563" s="5" t="s">
        <v>2149</v>
      </c>
      <c r="B563" s="67" t="str">
        <f>A563&amp;". Have you ever invested money using "&amp;Institution!K2&amp;"?"</f>
        <v>AD10.17. Have you ever invested money using a bank?</v>
      </c>
      <c r="C563" s="67" t="s">
        <v>125</v>
      </c>
      <c r="D563" s="114" t="s">
        <v>31</v>
      </c>
      <c r="E563" s="114">
        <v>1</v>
      </c>
      <c r="F563" s="120" t="s">
        <v>2150</v>
      </c>
      <c r="G563" s="5" t="str">
        <f t="shared" si="25"/>
        <v>AD10_17</v>
      </c>
      <c r="H563" s="39"/>
    </row>
    <row r="564" spans="1:8" s="37" customFormat="1" ht="28">
      <c r="A564" s="5" t="s">
        <v>2151</v>
      </c>
      <c r="B564" s="69" t="str">
        <f>A564&amp;". Have you ever invested money using "&amp;Institution!K3&amp;"?"</f>
        <v>AD10.18. Have you ever invested money using a smartphone app?</v>
      </c>
      <c r="C564" s="117" t="s">
        <v>125</v>
      </c>
      <c r="D564" s="115" t="s">
        <v>31</v>
      </c>
      <c r="E564" s="115">
        <v>1</v>
      </c>
      <c r="F564" s="51" t="s">
        <v>2152</v>
      </c>
      <c r="G564" s="45" t="str">
        <f>SUBSTITUTE(A564,".","_")</f>
        <v>AD10_18</v>
      </c>
      <c r="H564" s="39"/>
    </row>
    <row r="565" spans="1:8" s="37" customFormat="1" ht="28">
      <c r="A565" s="5" t="s">
        <v>2153</v>
      </c>
      <c r="B565" s="67" t="str">
        <f>A565&amp;". Have you ever invested money using "&amp;Institution!K4&amp;"?"</f>
        <v>AD10.19. Have you ever invested money using Pos Indonesia?</v>
      </c>
      <c r="C565" s="67" t="s">
        <v>125</v>
      </c>
      <c r="D565" s="114" t="s">
        <v>31</v>
      </c>
      <c r="E565" s="114">
        <v>1</v>
      </c>
      <c r="F565" s="51" t="s">
        <v>2154</v>
      </c>
      <c r="G565" s="5" t="str">
        <f t="shared" si="25"/>
        <v>AD10_19</v>
      </c>
      <c r="H565" s="39"/>
    </row>
    <row r="566" spans="1:8" s="37" customFormat="1" ht="28">
      <c r="A566" s="5" t="s">
        <v>2155</v>
      </c>
      <c r="B566" s="67" t="str">
        <f>A566&amp;". Have you ever invested money using "&amp;Institution!K5&amp;"?"</f>
        <v>AD10.20. Have you ever invested money using a mobile money service?</v>
      </c>
      <c r="C566" s="67" t="s">
        <v>125</v>
      </c>
      <c r="D566" s="114" t="s">
        <v>31</v>
      </c>
      <c r="E566" s="114">
        <v>1</v>
      </c>
      <c r="F566" s="51" t="s">
        <v>2156</v>
      </c>
      <c r="G566" s="5" t="str">
        <f t="shared" si="25"/>
        <v>AD10_20</v>
      </c>
      <c r="H566" s="39"/>
    </row>
    <row r="567" spans="1:8" s="37" customFormat="1" ht="28">
      <c r="A567" s="5" t="s">
        <v>2157</v>
      </c>
      <c r="B567" s="67" t="str">
        <f>A567&amp;". Have you ever invested money using "&amp;Institution!K6&amp;"?"</f>
        <v>AD10.21. Have you ever invested money using digital financial services (LKD) and/or Laku Pandai?</v>
      </c>
      <c r="C567" s="67" t="s">
        <v>125</v>
      </c>
      <c r="D567" s="114" t="s">
        <v>31</v>
      </c>
      <c r="E567" s="114">
        <v>1</v>
      </c>
      <c r="F567" s="51" t="s">
        <v>2158</v>
      </c>
      <c r="G567" s="5" t="str">
        <f t="shared" si="25"/>
        <v>AD10_21</v>
      </c>
      <c r="H567" s="39"/>
    </row>
    <row r="568" spans="1:8" s="37" customFormat="1" ht="28">
      <c r="A568" s="5" t="s">
        <v>2159</v>
      </c>
      <c r="B568" s="67" t="str">
        <f>A568&amp;". Have you ever invested money using "&amp;Institution!K7&amp;"?"</f>
        <v>AD10.22. Have you ever invested money using a Bank Perkreditan Rakyat (BPR)?</v>
      </c>
      <c r="C568" s="67" t="s">
        <v>125</v>
      </c>
      <c r="D568" s="114" t="s">
        <v>31</v>
      </c>
      <c r="E568" s="114">
        <v>1</v>
      </c>
      <c r="F568" s="51" t="s">
        <v>2160</v>
      </c>
      <c r="G568" s="5" t="str">
        <f t="shared" si="25"/>
        <v>AD10_22</v>
      </c>
      <c r="H568" s="39"/>
    </row>
    <row r="569" spans="1:8" s="37" customFormat="1" ht="28">
      <c r="A569" s="5" t="s">
        <v>2161</v>
      </c>
      <c r="B569" s="67" t="str">
        <f>A569&amp;". Have you ever invested money using "&amp;Institution!K8&amp;"?"</f>
        <v>AD10.23. Have you ever invested money using a koperasi (BMT, Credit Union, KSP), ventura or lembaga keungan mikro (LKM)?</v>
      </c>
      <c r="C569" s="67" t="s">
        <v>125</v>
      </c>
      <c r="D569" s="114" t="s">
        <v>31</v>
      </c>
      <c r="E569" s="114">
        <v>1</v>
      </c>
      <c r="F569" s="51" t="s">
        <v>2162</v>
      </c>
      <c r="G569" s="5" t="str">
        <f t="shared" si="25"/>
        <v>AD10_23</v>
      </c>
      <c r="H569" s="39"/>
    </row>
    <row r="570" spans="1:8" s="37" customFormat="1" ht="28">
      <c r="A570" s="5" t="s">
        <v>2163</v>
      </c>
      <c r="B570" s="67" t="str">
        <f>A570&amp;". Have you ever invested money using "&amp;Institution!K9&amp;"?"</f>
        <v>AD10.24. Have you ever invested money using a Baitul Maal wat Tamwil (BMT)?</v>
      </c>
      <c r="C570" s="67" t="s">
        <v>125</v>
      </c>
      <c r="D570" s="114" t="s">
        <v>31</v>
      </c>
      <c r="E570" s="114">
        <v>1</v>
      </c>
      <c r="F570" s="51" t="s">
        <v>2164</v>
      </c>
      <c r="G570" s="5" t="str">
        <f t="shared" si="25"/>
        <v>AD10_24</v>
      </c>
      <c r="H570" s="39"/>
    </row>
    <row r="571" spans="1:8" s="37" customFormat="1" ht="50" customHeight="1">
      <c r="A571" s="5" t="s">
        <v>2165</v>
      </c>
      <c r="B571" s="67" t="str">
        <f>A571&amp;". Have you ever invested money using "&amp;Institution!K10&amp;"?"</f>
        <v>AD10.25. Have you ever invested money using arisan, money guard, or other informal financial groups?</v>
      </c>
      <c r="C571" s="117" t="s">
        <v>125</v>
      </c>
      <c r="D571" s="115" t="s">
        <v>31</v>
      </c>
      <c r="E571" s="115">
        <v>1</v>
      </c>
      <c r="F571" s="125" t="s">
        <v>2166</v>
      </c>
      <c r="G571" s="45" t="str">
        <f>SUBSTITUTE(A571,".","_")</f>
        <v>AD10_25</v>
      </c>
      <c r="H571" s="39"/>
    </row>
    <row r="572" spans="1:8" s="1" customFormat="1" ht="84">
      <c r="A572" s="5" t="s">
        <v>2167</v>
      </c>
      <c r="B572" s="67" t="str">
        <f>A572&amp;". When was the last time you invested money using "&amp;Institution!K2&amp;"?"</f>
        <v>AD10.26. When was the last time you invested money using a bank?</v>
      </c>
      <c r="C572" s="6" t="s">
        <v>1538</v>
      </c>
      <c r="D572" s="114" t="s">
        <v>31</v>
      </c>
      <c r="E572" s="114">
        <v>1</v>
      </c>
      <c r="F572" s="112" t="s">
        <v>2168</v>
      </c>
      <c r="G572" s="5" t="str">
        <f t="shared" si="25"/>
        <v>AD10_26</v>
      </c>
      <c r="H572" s="43"/>
    </row>
    <row r="573" spans="1:8" s="37" customFormat="1" ht="84">
      <c r="A573" s="5" t="s">
        <v>2169</v>
      </c>
      <c r="B573" s="69" t="str">
        <f>A573&amp;". When was the last time you invested money using "&amp;Institution!K3&amp;"?"</f>
        <v>AD10.27. When was the last time you invested money using a smartphone app?</v>
      </c>
      <c r="C573" s="46" t="s">
        <v>1538</v>
      </c>
      <c r="D573" s="115" t="s">
        <v>31</v>
      </c>
      <c r="E573" s="115">
        <v>1</v>
      </c>
      <c r="F573" s="77" t="s">
        <v>2170</v>
      </c>
      <c r="G573" s="45" t="str">
        <f>SUBSTITUTE(A573,".","_")</f>
        <v>AD10_27</v>
      </c>
      <c r="H573" s="39"/>
    </row>
    <row r="574" spans="1:8" s="37" customFormat="1" ht="84">
      <c r="A574" s="5" t="s">
        <v>2171</v>
      </c>
      <c r="B574" s="67" t="str">
        <f>A574&amp;". When was the last time you invested money using "&amp;Institution!K4&amp;"?"</f>
        <v>AD10.28. When was the last time you invested money using Pos Indonesia?</v>
      </c>
      <c r="C574" s="6" t="s">
        <v>1538</v>
      </c>
      <c r="D574" s="114" t="s">
        <v>31</v>
      </c>
      <c r="E574" s="114">
        <v>1</v>
      </c>
      <c r="F574" s="77" t="s">
        <v>2172</v>
      </c>
      <c r="G574" s="5" t="str">
        <f t="shared" si="25"/>
        <v>AD10_28</v>
      </c>
      <c r="H574" s="39"/>
    </row>
    <row r="575" spans="1:8" s="37" customFormat="1" ht="84">
      <c r="A575" s="5" t="s">
        <v>2173</v>
      </c>
      <c r="B575" s="67" t="str">
        <f>A575&amp;". When was the last time you invested money using "&amp;Institution!K5&amp;"?"</f>
        <v>AD10.29. When was the last time you invested money using a mobile money service?</v>
      </c>
      <c r="C575" s="6" t="s">
        <v>1538</v>
      </c>
      <c r="D575" s="114" t="s">
        <v>31</v>
      </c>
      <c r="E575" s="114">
        <v>1</v>
      </c>
      <c r="F575" s="77" t="s">
        <v>2174</v>
      </c>
      <c r="G575" s="5" t="str">
        <f t="shared" si="25"/>
        <v>AD10_29</v>
      </c>
      <c r="H575" s="39"/>
    </row>
    <row r="576" spans="1:8" s="37" customFormat="1" ht="84">
      <c r="A576" s="5" t="s">
        <v>2175</v>
      </c>
      <c r="B576" s="67" t="str">
        <f>A576&amp;". When was the last time you invested money using "&amp;Institution!K6&amp;"?"</f>
        <v>AD10.30. When was the last time you invested money using digital financial services (LKD) and/or Laku Pandai?</v>
      </c>
      <c r="C576" s="6" t="s">
        <v>1538</v>
      </c>
      <c r="D576" s="114" t="s">
        <v>31</v>
      </c>
      <c r="E576" s="114">
        <v>1</v>
      </c>
      <c r="F576" s="77" t="s">
        <v>2176</v>
      </c>
      <c r="G576" s="5" t="str">
        <f t="shared" si="25"/>
        <v>AD10_30</v>
      </c>
      <c r="H576" s="39"/>
    </row>
    <row r="577" spans="1:8" s="37" customFormat="1" ht="84">
      <c r="A577" s="5" t="s">
        <v>2177</v>
      </c>
      <c r="B577" s="67" t="str">
        <f>A577&amp;". When was the last time you invested money using "&amp;Institution!K7&amp;"?"</f>
        <v>AD10.31. When was the last time you invested money using a Bank Perkreditan Rakyat (BPR)?</v>
      </c>
      <c r="C577" s="6" t="s">
        <v>1538</v>
      </c>
      <c r="D577" s="114" t="s">
        <v>31</v>
      </c>
      <c r="E577" s="114">
        <v>1</v>
      </c>
      <c r="F577" s="77" t="s">
        <v>2178</v>
      </c>
      <c r="G577" s="5" t="str">
        <f t="shared" si="25"/>
        <v>AD10_31</v>
      </c>
      <c r="H577" s="39"/>
    </row>
    <row r="578" spans="1:8" s="37" customFormat="1" ht="84">
      <c r="A578" s="5" t="s">
        <v>2179</v>
      </c>
      <c r="B578" s="67" t="str">
        <f>A578&amp;". When was the last time you invested money using "&amp;Institution!K8&amp;"?"</f>
        <v>AD10.32. When was the last time you invested money using a koperasi (BMT, Credit Union, KSP), ventura or lembaga keungan mikro (LKM)?</v>
      </c>
      <c r="C578" s="6" t="s">
        <v>1538</v>
      </c>
      <c r="D578" s="114" t="s">
        <v>31</v>
      </c>
      <c r="E578" s="114">
        <v>1</v>
      </c>
      <c r="F578" s="77" t="s">
        <v>2180</v>
      </c>
      <c r="G578" s="5" t="str">
        <f t="shared" si="25"/>
        <v>AD10_32</v>
      </c>
      <c r="H578" s="39"/>
    </row>
    <row r="579" spans="1:8" s="123" customFormat="1" ht="84">
      <c r="A579" s="5" t="s">
        <v>2181</v>
      </c>
      <c r="B579" s="67" t="str">
        <f>A579&amp;". When was the last time you invested money using "&amp;Institution!K9&amp;"?"</f>
        <v>AD10.33. When was the last time you invested money using a Baitul Maal wat Tamwil (BMT)?</v>
      </c>
      <c r="C579" s="6" t="s">
        <v>1538</v>
      </c>
      <c r="D579" s="114" t="s">
        <v>31</v>
      </c>
      <c r="E579" s="114">
        <v>1</v>
      </c>
      <c r="F579" s="77" t="s">
        <v>2182</v>
      </c>
      <c r="G579" s="5" t="str">
        <f t="shared" si="25"/>
        <v>AD10_33</v>
      </c>
      <c r="H579" s="122"/>
    </row>
    <row r="580" spans="1:8" s="37" customFormat="1" ht="84">
      <c r="A580" s="5" t="s">
        <v>2183</v>
      </c>
      <c r="B580" s="67" t="str">
        <f>A580&amp;". When was the last time you invested money using "&amp;Institution!K10&amp;"?"</f>
        <v>AD10.34. When was the last time you invested money using arisan, money guard, or other informal financial groups?</v>
      </c>
      <c r="C580" s="46" t="s">
        <v>1538</v>
      </c>
      <c r="D580" s="115" t="s">
        <v>31</v>
      </c>
      <c r="E580" s="115">
        <v>1</v>
      </c>
      <c r="F580" s="94" t="s">
        <v>2184</v>
      </c>
      <c r="G580" s="45" t="str">
        <f>SUBSTITUTE(A580,".","_")</f>
        <v>AD10_34</v>
      </c>
      <c r="H580" s="39"/>
    </row>
    <row r="581" spans="1:8" s="37" customFormat="1" ht="50" customHeight="1">
      <c r="A581" s="262" t="s">
        <v>2185</v>
      </c>
      <c r="B581" s="262"/>
      <c r="C581" s="262"/>
      <c r="D581" s="262"/>
      <c r="E581" s="262"/>
      <c r="F581" s="49" t="s">
        <v>13</v>
      </c>
      <c r="G581" s="49"/>
      <c r="H581" s="39"/>
    </row>
    <row r="582" spans="1:8" s="37" customFormat="1">
      <c r="A582" s="3" t="s">
        <v>2</v>
      </c>
      <c r="B582" s="4" t="s">
        <v>3</v>
      </c>
      <c r="C582" s="4" t="s">
        <v>4</v>
      </c>
      <c r="D582" s="3" t="s">
        <v>5</v>
      </c>
      <c r="E582" s="4" t="s">
        <v>6</v>
      </c>
      <c r="F582" s="4" t="s">
        <v>7</v>
      </c>
      <c r="G582" s="3" t="s">
        <v>8</v>
      </c>
      <c r="H582" s="39"/>
    </row>
    <row r="583" spans="1:8" s="37" customFormat="1" ht="28">
      <c r="A583" s="114" t="s">
        <v>2186</v>
      </c>
      <c r="B583" s="67" t="str">
        <f>A583&amp;". Have you ever borrowed money from someone outside your household or bought something on credit?"</f>
        <v>AD11. Have you ever borrowed money from someone outside your household or bought something on credit?</v>
      </c>
      <c r="C583" s="67" t="s">
        <v>125</v>
      </c>
      <c r="D583" s="114" t="s">
        <v>31</v>
      </c>
      <c r="E583" s="114">
        <v>1</v>
      </c>
      <c r="F583" s="15" t="s">
        <v>1891</v>
      </c>
      <c r="G583" s="9" t="str">
        <f t="shared" ref="G583:G617" si="26">SUBSTITUTE(A583,".","_")</f>
        <v>AD11</v>
      </c>
      <c r="H583" s="39"/>
    </row>
    <row r="584" spans="1:8" s="37" customFormat="1" ht="28">
      <c r="A584" s="114" t="s">
        <v>2187</v>
      </c>
      <c r="B584" s="117" t="str">
        <f>A584&amp;". Have you ever borrowed money or used credit from "&amp;Institution!L2&amp;"?"</f>
        <v>AD11.1. Have you ever borrowed money or used credit from a bank?</v>
      </c>
      <c r="C584" s="67" t="s">
        <v>125</v>
      </c>
      <c r="D584" s="114" t="s">
        <v>31</v>
      </c>
      <c r="E584" s="114">
        <v>1</v>
      </c>
      <c r="F584" s="120" t="s">
        <v>2188</v>
      </c>
      <c r="G584" s="9" t="str">
        <f t="shared" si="26"/>
        <v>AD11_1</v>
      </c>
      <c r="H584" s="39"/>
    </row>
    <row r="585" spans="1:8" s="37" customFormat="1" ht="28">
      <c r="A585" s="115" t="s">
        <v>2189</v>
      </c>
      <c r="B585" s="117" t="str">
        <f>A585&amp;". Have you ever borrowed money or used credit from "&amp;Institution!L3&amp;"?"</f>
        <v>AD11.2. Have you ever borrowed money or used credit from a smartphone app?</v>
      </c>
      <c r="C585" s="67" t="s">
        <v>125</v>
      </c>
      <c r="D585" s="114" t="s">
        <v>31</v>
      </c>
      <c r="E585" s="114">
        <v>1</v>
      </c>
      <c r="F585" s="51" t="s">
        <v>2190</v>
      </c>
      <c r="G585" s="9" t="str">
        <f t="shared" si="26"/>
        <v>AD11_2</v>
      </c>
      <c r="H585" s="39"/>
    </row>
    <row r="586" spans="1:8" s="37" customFormat="1" ht="28">
      <c r="A586" s="115" t="s">
        <v>2191</v>
      </c>
      <c r="B586" s="117" t="str">
        <f>A586&amp;". Have you ever borrowed money or used credit from "&amp;Institution!L4&amp;"?"</f>
        <v>AD11.3. Have you ever borrowed money or used credit from Pos Indonesia?</v>
      </c>
      <c r="C586" s="67" t="s">
        <v>125</v>
      </c>
      <c r="D586" s="114" t="s">
        <v>31</v>
      </c>
      <c r="E586" s="114">
        <v>1</v>
      </c>
      <c r="F586" s="51" t="s">
        <v>2192</v>
      </c>
      <c r="G586" s="9" t="str">
        <f t="shared" si="26"/>
        <v>AD11_3</v>
      </c>
      <c r="H586" s="39"/>
    </row>
    <row r="587" spans="1:8" s="37" customFormat="1" ht="28">
      <c r="A587" s="115" t="s">
        <v>2193</v>
      </c>
      <c r="B587" s="117" t="str">
        <f>A587&amp;". Have you ever borrowed money using "&amp;Institution!L5&amp;"?"</f>
        <v>AD11.4. Have you ever borrowed money using a mobile money service?</v>
      </c>
      <c r="C587" s="67" t="s">
        <v>125</v>
      </c>
      <c r="D587" s="114" t="s">
        <v>31</v>
      </c>
      <c r="E587" s="114">
        <v>1</v>
      </c>
      <c r="F587" s="51" t="s">
        <v>2194</v>
      </c>
      <c r="G587" s="9" t="str">
        <f t="shared" si="26"/>
        <v>AD11_4</v>
      </c>
      <c r="H587" s="39"/>
    </row>
    <row r="588" spans="1:8" s="37" customFormat="1" ht="28">
      <c r="A588" s="115" t="s">
        <v>2195</v>
      </c>
      <c r="B588" s="117" t="str">
        <f>A588&amp;". Have you ever borrowed money using "&amp;Institution!L6&amp;"?"</f>
        <v>AD11.5. Have you ever borrowed money using digital financial services (LKD) and/or Laku Pandai?</v>
      </c>
      <c r="C588" s="67" t="s">
        <v>125</v>
      </c>
      <c r="D588" s="114" t="s">
        <v>31</v>
      </c>
      <c r="E588" s="114">
        <v>1</v>
      </c>
      <c r="F588" s="51" t="s">
        <v>2196</v>
      </c>
      <c r="G588" s="9" t="str">
        <f t="shared" si="26"/>
        <v>AD11_5</v>
      </c>
      <c r="H588" s="39"/>
    </row>
    <row r="589" spans="1:8" s="37" customFormat="1" ht="28">
      <c r="A589" s="115" t="s">
        <v>2197</v>
      </c>
      <c r="B589" s="117" t="str">
        <f>A589&amp;". Have you ever borrowed money using "&amp;Institution!L7&amp;"?"</f>
        <v>AD11.6. Have you ever borrowed money using a Bank Perkreditan Rakyat (BPR)?</v>
      </c>
      <c r="C589" s="67" t="s">
        <v>125</v>
      </c>
      <c r="D589" s="114" t="s">
        <v>31</v>
      </c>
      <c r="E589" s="114">
        <v>1</v>
      </c>
      <c r="F589" s="51" t="s">
        <v>2198</v>
      </c>
      <c r="G589" s="9" t="str">
        <f t="shared" si="26"/>
        <v>AD11_6</v>
      </c>
      <c r="H589" s="39"/>
    </row>
    <row r="590" spans="1:8" s="37" customFormat="1" ht="28">
      <c r="A590" s="115" t="s">
        <v>2199</v>
      </c>
      <c r="B590" s="117" t="str">
        <f>A590&amp;". Have you ever borrowed money using "&amp;Institution!L8&amp;"?"</f>
        <v>AD11.7. Have you ever borrowed money using a koperasi (BMT, Credit Union, KSP), ventura or lembaga keungan mikro (LKM)?</v>
      </c>
      <c r="C590" s="67" t="s">
        <v>125</v>
      </c>
      <c r="D590" s="114" t="s">
        <v>31</v>
      </c>
      <c r="E590" s="114">
        <v>1</v>
      </c>
      <c r="F590" s="51" t="s">
        <v>2200</v>
      </c>
      <c r="G590" s="9" t="str">
        <f t="shared" si="26"/>
        <v>AD11_7</v>
      </c>
      <c r="H590" s="39"/>
    </row>
    <row r="591" spans="1:8" s="37" customFormat="1" ht="28">
      <c r="A591" s="115" t="s">
        <v>2201</v>
      </c>
      <c r="B591" s="117" t="str">
        <f>A591&amp;". Have you ever borrowed money using "&amp;Institution!L9&amp;"?"</f>
        <v>AD11.8. Have you ever borrowed money using a Baitul Maal wat Tamwil (BMT)?</v>
      </c>
      <c r="C591" s="67" t="s">
        <v>125</v>
      </c>
      <c r="D591" s="114" t="s">
        <v>31</v>
      </c>
      <c r="E591" s="114">
        <v>1</v>
      </c>
      <c r="F591" s="51" t="s">
        <v>2202</v>
      </c>
      <c r="G591" s="9" t="str">
        <f t="shared" si="26"/>
        <v>AD11_8</v>
      </c>
      <c r="H591" s="39"/>
    </row>
    <row r="592" spans="1:8" s="37" customFormat="1" ht="28">
      <c r="A592" s="115" t="s">
        <v>2203</v>
      </c>
      <c r="B592" s="117" t="str">
        <f>A592&amp;". Have you ever borrowed money from "&amp;Institution!L10&amp;"?"</f>
        <v>AD11.9. Have you ever borrowed money from a pawnshop?</v>
      </c>
      <c r="C592" s="67" t="s">
        <v>125</v>
      </c>
      <c r="D592" s="114" t="s">
        <v>31</v>
      </c>
      <c r="E592" s="114">
        <v>1</v>
      </c>
      <c r="F592" s="51" t="s">
        <v>2204</v>
      </c>
      <c r="G592" s="9" t="str">
        <f t="shared" si="26"/>
        <v>AD11_9</v>
      </c>
      <c r="H592" s="39"/>
    </row>
    <row r="593" spans="1:23" s="123" customFormat="1" ht="28">
      <c r="A593" s="115" t="s">
        <v>2205</v>
      </c>
      <c r="B593" s="117" t="str">
        <f>A593&amp;". Have you ever borrowed money using an "&amp;Institution!L11&amp;"?"</f>
        <v>AD11.10. Have you ever borrowed money using an an e-money card?</v>
      </c>
      <c r="C593" s="67" t="s">
        <v>125</v>
      </c>
      <c r="D593" s="114" t="s">
        <v>31</v>
      </c>
      <c r="E593" s="114">
        <v>1</v>
      </c>
      <c r="F593" s="51" t="s">
        <v>2206</v>
      </c>
      <c r="G593" s="9" t="str">
        <f t="shared" si="26"/>
        <v>AD11_10</v>
      </c>
      <c r="H593" s="122"/>
    </row>
    <row r="594" spans="1:23" s="37" customFormat="1" ht="28">
      <c r="A594" s="115" t="s">
        <v>2207</v>
      </c>
      <c r="B594" s="117" t="str">
        <f>A594&amp;". Have you ever purchased something using "&amp;Institution!L12&amp;"?"</f>
        <v>AD11.11. Have you ever purchased something using a credit card?</v>
      </c>
      <c r="C594" s="67" t="s">
        <v>125</v>
      </c>
      <c r="D594" s="114" t="s">
        <v>31</v>
      </c>
      <c r="E594" s="114">
        <v>1</v>
      </c>
      <c r="F594" s="116" t="s">
        <v>2208</v>
      </c>
      <c r="G594" s="9" t="str">
        <f t="shared" si="26"/>
        <v>AD11_11</v>
      </c>
      <c r="H594" s="39"/>
    </row>
    <row r="595" spans="1:23" s="37" customFormat="1" ht="28">
      <c r="A595" s="115" t="s">
        <v>2209</v>
      </c>
      <c r="B595" s="117" t="str">
        <f>A595&amp;". Have you ever borrowed money or used credit from "&amp;Institution!L13&amp;"?"</f>
        <v>AD11.12. Have you ever borrowed money or used credit from a multifinance  (e.g. Adira, FIF, BAF, AAC, etc.)?</v>
      </c>
      <c r="C595" s="67" t="s">
        <v>125</v>
      </c>
      <c r="D595" s="114" t="s">
        <v>31</v>
      </c>
      <c r="E595" s="114">
        <v>1</v>
      </c>
      <c r="F595" s="125" t="s">
        <v>2210</v>
      </c>
      <c r="G595" s="9" t="str">
        <f t="shared" si="26"/>
        <v>AD11_12</v>
      </c>
      <c r="H595" s="39"/>
    </row>
    <row r="596" spans="1:23" s="37" customFormat="1" ht="28">
      <c r="A596" s="115" t="s">
        <v>2211</v>
      </c>
      <c r="B596" s="117" t="str">
        <f>A596&amp;". Have you ever borrowed money from "&amp;Institution!L14&amp;"?"</f>
        <v>AD11.13. Have you ever borrowed money from arisan, money guard, or other informal financial groups?</v>
      </c>
      <c r="C596" s="67" t="s">
        <v>125</v>
      </c>
      <c r="D596" s="114" t="s">
        <v>31</v>
      </c>
      <c r="E596" s="114">
        <v>1</v>
      </c>
      <c r="F596" s="77" t="s">
        <v>2212</v>
      </c>
      <c r="G596" s="9" t="str">
        <f t="shared" si="26"/>
        <v>AD11_13</v>
      </c>
      <c r="H596" s="39"/>
    </row>
    <row r="597" spans="1:23" s="37" customFormat="1" ht="28">
      <c r="A597" s="115" t="s">
        <v>2213</v>
      </c>
      <c r="B597" s="117" t="str">
        <f>A597&amp;". Have you ever borrowed money from "&amp;Institution!L15&amp;"?"</f>
        <v>AD11.14. Have you ever borrowed money from money lender (pengepul, supplier/ pemasok, etc.)?</v>
      </c>
      <c r="C597" s="67" t="s">
        <v>125</v>
      </c>
      <c r="D597" s="114" t="s">
        <v>31</v>
      </c>
      <c r="E597" s="114">
        <v>1</v>
      </c>
      <c r="F597" s="55" t="s">
        <v>2214</v>
      </c>
      <c r="G597" s="9" t="str">
        <f t="shared" si="26"/>
        <v>AD11_14</v>
      </c>
      <c r="H597" s="39"/>
    </row>
    <row r="598" spans="1:23" s="37" customFormat="1" ht="84">
      <c r="A598" s="115" t="s">
        <v>2215</v>
      </c>
      <c r="B598" s="117" t="str">
        <f>A598&amp;". When was the last time you borrowed money or used credit from "&amp;Institution!L2&amp;"?"</f>
        <v>AD11.15. When was the last time you borrowed money or used credit from a bank?</v>
      </c>
      <c r="C598" s="6" t="s">
        <v>1538</v>
      </c>
      <c r="D598" s="114" t="s">
        <v>31</v>
      </c>
      <c r="E598" s="114">
        <v>1</v>
      </c>
      <c r="F598" s="126" t="s">
        <v>2216</v>
      </c>
      <c r="G598" s="9" t="str">
        <f t="shared" si="26"/>
        <v>AD11_15</v>
      </c>
      <c r="H598" s="39"/>
    </row>
    <row r="599" spans="1:23" s="37" customFormat="1" ht="84">
      <c r="A599" s="115" t="s">
        <v>2217</v>
      </c>
      <c r="B599" s="117" t="str">
        <f>A599&amp;". When was the last time you borrowed money or used credit from "&amp;Institution!L3&amp;"?"</f>
        <v>AD11.16. When was the last time you borrowed money or used credit from a smartphone app?</v>
      </c>
      <c r="C599" s="6" t="s">
        <v>1538</v>
      </c>
      <c r="D599" s="114" t="s">
        <v>31</v>
      </c>
      <c r="E599" s="114">
        <v>1</v>
      </c>
      <c r="F599" s="126" t="s">
        <v>2218</v>
      </c>
      <c r="G599" s="9" t="str">
        <f t="shared" si="26"/>
        <v>AD11_16</v>
      </c>
      <c r="H599" s="39"/>
    </row>
    <row r="600" spans="1:23" s="37" customFormat="1" ht="84">
      <c r="A600" s="115" t="s">
        <v>2219</v>
      </c>
      <c r="B600" s="117" t="str">
        <f>A600&amp;". When was the last time you borrowed money or used credit from "&amp;Institution!L4&amp;"?"</f>
        <v>AD11.17. When was the last time you borrowed money or used credit from Pos Indonesia?</v>
      </c>
      <c r="C600" s="6" t="s">
        <v>1538</v>
      </c>
      <c r="D600" s="114" t="s">
        <v>31</v>
      </c>
      <c r="E600" s="114">
        <v>1</v>
      </c>
      <c r="F600" s="126" t="s">
        <v>2220</v>
      </c>
      <c r="G600" s="9" t="str">
        <f t="shared" si="26"/>
        <v>AD11_17</v>
      </c>
      <c r="H600" s="39"/>
    </row>
    <row r="601" spans="1:23" s="37" customFormat="1" ht="84">
      <c r="A601" s="115" t="s">
        <v>2221</v>
      </c>
      <c r="B601" s="117" t="str">
        <f>A601&amp;". When was the last time you borrowed money using "&amp;Institution!L5&amp;"?"</f>
        <v>AD11.18. When was the last time you borrowed money using a mobile money service?</v>
      </c>
      <c r="C601" s="6" t="s">
        <v>1538</v>
      </c>
      <c r="D601" s="114" t="s">
        <v>31</v>
      </c>
      <c r="E601" s="114">
        <v>1</v>
      </c>
      <c r="F601" s="126" t="s">
        <v>2222</v>
      </c>
      <c r="G601" s="9" t="str">
        <f t="shared" si="26"/>
        <v>AD11_18</v>
      </c>
      <c r="H601" s="39"/>
    </row>
    <row r="602" spans="1:23" ht="84">
      <c r="A602" s="115" t="s">
        <v>2223</v>
      </c>
      <c r="B602" s="117" t="str">
        <f>A602&amp;". When was the last time you borrowed money using "&amp;Institution!L6&amp;"?"</f>
        <v>AD11.19. When was the last time you borrowed money using digital financial services (LKD) and/or Laku Pandai?</v>
      </c>
      <c r="C602" s="6" t="s">
        <v>1538</v>
      </c>
      <c r="D602" s="114" t="s">
        <v>31</v>
      </c>
      <c r="E602" s="114">
        <v>1</v>
      </c>
      <c r="F602" s="126" t="s">
        <v>2224</v>
      </c>
      <c r="G602" s="9" t="str">
        <f t="shared" si="26"/>
        <v>AD11_19</v>
      </c>
    </row>
    <row r="603" spans="1:23" ht="84">
      <c r="A603" s="115" t="s">
        <v>2225</v>
      </c>
      <c r="B603" s="117" t="str">
        <f>A603&amp;". When was the last time you borrowed money using "&amp;Institution!L7&amp;"?"</f>
        <v>AD11.20. When was the last time you borrowed money using a Bank Perkreditan Rakyat (BPR)?</v>
      </c>
      <c r="C603" s="67" t="s">
        <v>1538</v>
      </c>
      <c r="D603" s="114" t="s">
        <v>31</v>
      </c>
      <c r="E603" s="114">
        <v>1</v>
      </c>
      <c r="F603" s="126" t="s">
        <v>2226</v>
      </c>
      <c r="G603" s="13" t="str">
        <f t="shared" si="26"/>
        <v>AD11_20</v>
      </c>
      <c r="I603" s="12"/>
      <c r="J603" s="12"/>
      <c r="K603" s="12"/>
      <c r="L603" s="12"/>
      <c r="M603" s="12"/>
      <c r="N603" s="12"/>
      <c r="O603" s="12"/>
      <c r="P603" s="12"/>
      <c r="Q603" s="12"/>
      <c r="R603" s="12"/>
      <c r="S603" s="12"/>
      <c r="T603" s="12"/>
      <c r="U603" s="12"/>
      <c r="V603" s="12"/>
      <c r="W603" s="12"/>
    </row>
    <row r="604" spans="1:23" s="1" customFormat="1" ht="84">
      <c r="A604" s="115" t="s">
        <v>2227</v>
      </c>
      <c r="B604" s="117" t="str">
        <f>A604&amp;". When was the last time you borrowed money using "&amp;Institution!L8&amp;"?"</f>
        <v>AD11.21. When was the last time you borrowed money using a koperasi (BMT, Credit Union, KSP), ventura or lembaga keungan mikro (LKM)?</v>
      </c>
      <c r="C604" s="6" t="s">
        <v>1538</v>
      </c>
      <c r="D604" s="114" t="s">
        <v>31</v>
      </c>
      <c r="E604" s="114">
        <v>1</v>
      </c>
      <c r="F604" s="126" t="s">
        <v>2228</v>
      </c>
      <c r="G604" s="9" t="str">
        <f t="shared" si="26"/>
        <v>AD11_21</v>
      </c>
      <c r="H604" s="43"/>
    </row>
    <row r="605" spans="1:23" s="1" customFormat="1" ht="84">
      <c r="A605" s="115" t="s">
        <v>2229</v>
      </c>
      <c r="B605" s="117" t="str">
        <f>A605&amp;". When was the last time you borrowed money using "&amp;Institution!L9&amp;"?"</f>
        <v>AD11.22. When was the last time you borrowed money using a Baitul Maal wat Tamwil (BMT)?</v>
      </c>
      <c r="C605" s="6" t="s">
        <v>1538</v>
      </c>
      <c r="D605" s="114" t="s">
        <v>31</v>
      </c>
      <c r="E605" s="114">
        <v>1</v>
      </c>
      <c r="F605" s="126" t="s">
        <v>2230</v>
      </c>
      <c r="G605" s="9" t="str">
        <f t="shared" si="26"/>
        <v>AD11_22</v>
      </c>
      <c r="H605" s="43"/>
    </row>
    <row r="606" spans="1:23" ht="84">
      <c r="A606" s="115" t="s">
        <v>2231</v>
      </c>
      <c r="B606" s="117" t="str">
        <f>A606&amp;". When was the last time you borrowed money from "&amp;Institution!L10&amp;"?"</f>
        <v>AD11.23. When was the last time you borrowed money from a pawnshop?</v>
      </c>
      <c r="C606" s="6" t="s">
        <v>1538</v>
      </c>
      <c r="D606" s="114" t="s">
        <v>31</v>
      </c>
      <c r="E606" s="114">
        <v>1</v>
      </c>
      <c r="F606" s="126" t="s">
        <v>2232</v>
      </c>
      <c r="G606" s="9" t="str">
        <f t="shared" si="26"/>
        <v>AD11_23</v>
      </c>
      <c r="I606" s="12"/>
      <c r="J606" s="12"/>
      <c r="K606" s="12"/>
      <c r="L606" s="12"/>
      <c r="M606" s="12"/>
      <c r="N606" s="12"/>
      <c r="O606" s="12"/>
      <c r="P606" s="12"/>
      <c r="Q606" s="12"/>
      <c r="R606" s="12"/>
      <c r="S606" s="12"/>
      <c r="T606" s="12"/>
      <c r="U606" s="12"/>
      <c r="V606" s="12"/>
      <c r="W606" s="12"/>
    </row>
    <row r="607" spans="1:23" s="1" customFormat="1" ht="84">
      <c r="A607" s="115" t="s">
        <v>2233</v>
      </c>
      <c r="B607" s="117" t="str">
        <f>A607&amp;". When was the last time you borrowed money using an "&amp;Institution!L11&amp;"?"</f>
        <v>AD11.24. When was the last time you borrowed money using an an e-money card?</v>
      </c>
      <c r="C607" s="6" t="s">
        <v>1538</v>
      </c>
      <c r="D607" s="114" t="s">
        <v>31</v>
      </c>
      <c r="E607" s="114">
        <v>1</v>
      </c>
      <c r="F607" s="126" t="s">
        <v>2234</v>
      </c>
      <c r="G607" s="9" t="str">
        <f t="shared" si="26"/>
        <v>AD11_24</v>
      </c>
      <c r="H607" s="43"/>
    </row>
    <row r="608" spans="1:23" ht="35" customHeight="1">
      <c r="A608" s="115" t="s">
        <v>2235</v>
      </c>
      <c r="B608" s="117" t="str">
        <f>A608&amp;". When was the last time you purchased something using "&amp;Institution!L12&amp;"?"</f>
        <v>AD11.25. When was the last time you purchased something using a credit card?</v>
      </c>
      <c r="C608" s="6" t="s">
        <v>1538</v>
      </c>
      <c r="D608" s="114" t="s">
        <v>31</v>
      </c>
      <c r="E608" s="114">
        <v>1</v>
      </c>
      <c r="F608" s="126" t="s">
        <v>2236</v>
      </c>
      <c r="G608" s="9" t="str">
        <f t="shared" si="26"/>
        <v>AD11_25</v>
      </c>
      <c r="I608" s="12"/>
      <c r="J608" s="12"/>
      <c r="K608" s="12"/>
      <c r="L608" s="12"/>
      <c r="M608" s="12"/>
      <c r="N608" s="12"/>
      <c r="O608" s="12"/>
      <c r="P608" s="12"/>
      <c r="Q608" s="12"/>
      <c r="R608" s="12"/>
      <c r="S608" s="12"/>
      <c r="T608" s="12"/>
      <c r="U608" s="12"/>
      <c r="V608" s="12"/>
      <c r="W608" s="12"/>
    </row>
    <row r="609" spans="1:8" s="1" customFormat="1" ht="84">
      <c r="A609" s="115" t="s">
        <v>2237</v>
      </c>
      <c r="B609" s="117" t="str">
        <f>A609&amp;". When was the last time you borrowed money or used credit from "&amp;Institution!L13&amp;"?"</f>
        <v>AD11.26. When was the last time you borrowed money or used credit from a multifinance  (e.g. Adira, FIF, BAF, AAC, etc.)?</v>
      </c>
      <c r="C609" s="6" t="s">
        <v>1538</v>
      </c>
      <c r="D609" s="114" t="s">
        <v>31</v>
      </c>
      <c r="E609" s="114">
        <v>1</v>
      </c>
      <c r="F609" s="126" t="s">
        <v>2238</v>
      </c>
      <c r="G609" s="9" t="str">
        <f t="shared" si="26"/>
        <v>AD11_26</v>
      </c>
      <c r="H609" s="43"/>
    </row>
    <row r="610" spans="1:8" ht="84">
      <c r="A610" s="115" t="s">
        <v>2239</v>
      </c>
      <c r="B610" s="117" t="str">
        <f>A610&amp;". When was the last time you borrowed money from "&amp;Institution!L14&amp;"?"</f>
        <v>AD11.27. When was the last time you borrowed money from arisan, money guard, or other informal financial groups?</v>
      </c>
      <c r="C610" s="46" t="s">
        <v>2240</v>
      </c>
      <c r="D610" s="115" t="s">
        <v>31</v>
      </c>
      <c r="E610" s="115">
        <v>1</v>
      </c>
      <c r="F610" s="126" t="s">
        <v>2241</v>
      </c>
      <c r="G610" s="83" t="str">
        <f>SUBSTITUTE(A610,".","_")</f>
        <v>AD11_27</v>
      </c>
    </row>
    <row r="611" spans="1:8" ht="84">
      <c r="A611" s="115" t="s">
        <v>2242</v>
      </c>
      <c r="B611" s="117" t="str">
        <f>A611&amp;". When was the last time you borrowed money from "&amp;Institution!L15&amp;"?"</f>
        <v>AD11.28. When was the last time you borrowed money from money lender (pengepul, supplier/ pemasok, etc.)?</v>
      </c>
      <c r="C611" s="46" t="s">
        <v>2243</v>
      </c>
      <c r="D611" s="115" t="s">
        <v>31</v>
      </c>
      <c r="E611" s="115">
        <v>1</v>
      </c>
      <c r="F611" s="126" t="s">
        <v>2244</v>
      </c>
      <c r="G611" s="83" t="str">
        <f>SUBSTITUTE(A611,".","_")</f>
        <v>AD11_28</v>
      </c>
    </row>
    <row r="612" spans="1:8" ht="112">
      <c r="A612" s="5" t="s">
        <v>1368</v>
      </c>
      <c r="B612" s="6" t="str">
        <f>A612&amp;". Many people need extra time to repay money they borrowed. When you borrow money or make purchases on credit, how often does the deadline pass before you are able to repay what you borrowed?"</f>
        <v>FB19. Many people need extra time to repay money they borrowed. When you borrow money or make purchases on credit, how often does the deadline pass before you are able to repay what you borrowed?</v>
      </c>
      <c r="C612" s="6" t="s">
        <v>2245</v>
      </c>
      <c r="D612" s="5" t="s">
        <v>31</v>
      </c>
      <c r="E612" s="22">
        <v>2</v>
      </c>
      <c r="F612" s="112" t="s">
        <v>2214</v>
      </c>
      <c r="G612" s="5" t="str">
        <f t="shared" si="26"/>
        <v>FB19</v>
      </c>
    </row>
    <row r="613" spans="1:8" ht="28">
      <c r="A613" s="5" t="s">
        <v>2246</v>
      </c>
      <c r="B613" s="6" t="str">
        <f>A613&amp;". Now I’m going to read a list of reasons why some people borrow money. For each one that I read, please tell me whether or not you borrowed in the past 12 months for this purpose? "&amp;Other!M27</f>
        <v>FB19.1. Now I’m going to read a list of reasons why some people borrow money. For each one that I read, please tell me whether or not you borrowed in the past 12 months for this purpose? To pay for emergency expenses (e.g., medical bills)</v>
      </c>
      <c r="C613" s="6" t="s">
        <v>2059</v>
      </c>
      <c r="D613" s="5" t="s">
        <v>31</v>
      </c>
      <c r="E613" s="5">
        <v>1</v>
      </c>
      <c r="F613" s="1" t="s">
        <v>2214</v>
      </c>
      <c r="G613" s="5" t="str">
        <f t="shared" si="26"/>
        <v>FB19_1</v>
      </c>
    </row>
    <row r="614" spans="1:8" ht="42">
      <c r="A614" s="5" t="s">
        <v>2247</v>
      </c>
      <c r="B614" s="6" t="str">
        <f>A614&amp;". Now I’m going to read a list of reasons why some people borrow money. For each one that I read, please tell me whether or not you borrowed in the past 12 months for this purpose? "&amp;Other!M28</f>
        <v>FB19.2. Now I’m going to read a list of reasons why some people borrow money. For each one that I read, please tell me whether or not you borrowed in the past 12 months for this purpose? To pay for daily expenses (e.g., food, transportation, etc.)</v>
      </c>
      <c r="C614" s="6" t="s">
        <v>2059</v>
      </c>
      <c r="D614" s="5" t="s">
        <v>31</v>
      </c>
      <c r="E614" s="5">
        <v>1</v>
      </c>
      <c r="F614" s="1" t="s">
        <v>2214</v>
      </c>
      <c r="G614" s="5" t="str">
        <f t="shared" si="26"/>
        <v>FB19_2</v>
      </c>
    </row>
    <row r="615" spans="1:8" ht="28">
      <c r="A615" s="5" t="s">
        <v>2248</v>
      </c>
      <c r="B615" s="6" t="str">
        <f>A615&amp;". Now I’m going to read a list of reasons why some people borrow money. For each one that I read, please tell me whether or not you borrowed in the past 12 months for this purpose? "&amp;Other!M29</f>
        <v>FB19.3. Now I’m going to read a list of reasons why some people borrow money. For each one that I read, please tell me whether or not you borrowed in the past 12 months for this purpose? To pay business expenses or invest in a business</v>
      </c>
      <c r="C615" s="6" t="s">
        <v>2059</v>
      </c>
      <c r="D615" s="5" t="s">
        <v>31</v>
      </c>
      <c r="E615" s="5">
        <v>1</v>
      </c>
      <c r="F615" s="1" t="s">
        <v>2214</v>
      </c>
      <c r="G615" s="5" t="str">
        <f t="shared" si="26"/>
        <v>FB19_3</v>
      </c>
    </row>
    <row r="616" spans="1:8" ht="28">
      <c r="A616" s="5" t="s">
        <v>2249</v>
      </c>
      <c r="B616" s="6" t="str">
        <f>A616&amp;". Now I’m going to read a list of reasons why some people borrow money. For each one that I read, please tell me whether or not you borrowed in the past 12 months for this purpose? "&amp;Other!M30</f>
        <v>FB19.4. Now I’m going to read a list of reasons why some people borrow money. For each one that I read, please tell me whether or not you borrowed in the past 12 months for this purpose? To invest in home improvement or construction</v>
      </c>
      <c r="C616" s="6" t="s">
        <v>2059</v>
      </c>
      <c r="D616" s="5" t="s">
        <v>31</v>
      </c>
      <c r="E616" s="5">
        <v>1</v>
      </c>
      <c r="F616" s="1" t="s">
        <v>2214</v>
      </c>
      <c r="G616" s="5" t="str">
        <f t="shared" si="26"/>
        <v>FB19_4</v>
      </c>
    </row>
    <row r="617" spans="1:8" ht="28">
      <c r="A617" s="5" t="s">
        <v>2250</v>
      </c>
      <c r="B617" s="6" t="str">
        <f>A617&amp;". Now I’m going to read a list of reasons why some people borrow money. For each one that I read, please tell me whether or not you borrowed in the past 12 months for this purpose? "&amp;Other!M31</f>
        <v>FB19.5. Now I’m going to read a list of reasons why some people borrow money. For each one that I read, please tell me whether or not you borrowed in the past 12 months for this purpose? To pay for agricultural inputs</v>
      </c>
      <c r="C617" s="6" t="s">
        <v>2059</v>
      </c>
      <c r="D617" s="5" t="s">
        <v>31</v>
      </c>
      <c r="E617" s="5">
        <v>1</v>
      </c>
      <c r="F617" s="1" t="s">
        <v>2214</v>
      </c>
      <c r="G617" s="5" t="str">
        <f t="shared" si="26"/>
        <v>FB19_5</v>
      </c>
    </row>
    <row r="618" spans="1:8" ht="40" customHeight="1">
      <c r="A618" s="262" t="s">
        <v>2251</v>
      </c>
      <c r="B618" s="262"/>
      <c r="C618" s="262"/>
      <c r="D618" s="262"/>
      <c r="E618" s="262"/>
      <c r="F618" s="49" t="s">
        <v>2252</v>
      </c>
      <c r="G618" s="49"/>
    </row>
    <row r="619" spans="1:8" ht="25" customHeight="1">
      <c r="A619" s="3" t="s">
        <v>2</v>
      </c>
      <c r="B619" s="4" t="s">
        <v>3</v>
      </c>
      <c r="C619" s="4" t="s">
        <v>4</v>
      </c>
      <c r="D619" s="3" t="s">
        <v>5</v>
      </c>
      <c r="E619" s="4" t="s">
        <v>6</v>
      </c>
      <c r="F619" s="4" t="s">
        <v>7</v>
      </c>
      <c r="G619" s="3" t="s">
        <v>8</v>
      </c>
    </row>
    <row r="620" spans="1:8" ht="28">
      <c r="A620" s="5" t="s">
        <v>2253</v>
      </c>
      <c r="B620" s="6" t="str">
        <f>A620&amp;". Is this a reason why you started using financial services on your mobile phone? "&amp;Other!E27</f>
        <v>MM5.1. Is this a reason why you started using financial services on your mobile phone? To send or receive money</v>
      </c>
      <c r="C620" s="6" t="s">
        <v>2059</v>
      </c>
      <c r="D620" s="5" t="s">
        <v>31</v>
      </c>
      <c r="E620" s="5">
        <v>1</v>
      </c>
      <c r="F620" s="106" t="s">
        <v>2252</v>
      </c>
      <c r="G620" s="5" t="str">
        <f t="shared" ref="G620:G628" si="27">SUBSTITUTE(A620,".","_")</f>
        <v>MM5_1</v>
      </c>
    </row>
    <row r="621" spans="1:8" ht="28">
      <c r="A621" s="5" t="s">
        <v>2254</v>
      </c>
      <c r="B621" s="6" t="str">
        <f>A621&amp;". Is this a reason why you started using financial services on your mobile phone? "&amp;Other!E28</f>
        <v>MM5.2. Is this a reason why you started using financial services on your mobile phone? To save money</v>
      </c>
      <c r="C621" s="6" t="s">
        <v>2059</v>
      </c>
      <c r="D621" s="5" t="s">
        <v>31</v>
      </c>
      <c r="E621" s="5">
        <v>1</v>
      </c>
      <c r="F621" s="106" t="s">
        <v>2252</v>
      </c>
      <c r="G621" s="5" t="str">
        <f t="shared" si="27"/>
        <v>MM5_2</v>
      </c>
    </row>
    <row r="622" spans="1:8" ht="28">
      <c r="A622" s="5" t="s">
        <v>2255</v>
      </c>
      <c r="B622" s="6" t="str">
        <f>A622&amp;". Is this a reason why you started using financial services on your mobile phone? "&amp;Other!E29</f>
        <v>MM5.3. Is this a reason why you started using financial services on your mobile phone? To have a secure place to store money</v>
      </c>
      <c r="C622" s="6" t="s">
        <v>2059</v>
      </c>
      <c r="D622" s="5" t="s">
        <v>31</v>
      </c>
      <c r="E622" s="5">
        <v>1</v>
      </c>
      <c r="F622" s="106" t="s">
        <v>2252</v>
      </c>
      <c r="G622" s="5" t="str">
        <f t="shared" si="27"/>
        <v>MM5_3</v>
      </c>
    </row>
    <row r="623" spans="1:8" ht="28">
      <c r="A623" s="5" t="s">
        <v>2256</v>
      </c>
      <c r="B623" s="6" t="str">
        <f>A623&amp;". Is this a reason why you started using financial services on your mobile phone? "&amp;Other!E30</f>
        <v>MM5.4. Is this a reason why you started using financial services on your mobile phone? You were registered for a mobile money account by someone else</v>
      </c>
      <c r="C623" s="6" t="s">
        <v>2059</v>
      </c>
      <c r="D623" s="5" t="s">
        <v>31</v>
      </c>
      <c r="E623" s="5">
        <v>1</v>
      </c>
      <c r="F623" s="106" t="s">
        <v>2252</v>
      </c>
      <c r="G623" s="5" t="str">
        <f t="shared" si="27"/>
        <v>MM5_4</v>
      </c>
    </row>
    <row r="624" spans="1:8" ht="28">
      <c r="A624" s="5" t="s">
        <v>2257</v>
      </c>
      <c r="B624" s="6" t="str">
        <f>A624&amp;". Is this a reason why you started using financial services on your mobile phone? "&amp;Other!E31</f>
        <v>MM5.5. Is this a reason why you started using financial services on your mobile phone? To borrow money</v>
      </c>
      <c r="C624" s="6" t="s">
        <v>2059</v>
      </c>
      <c r="D624" s="5" t="s">
        <v>31</v>
      </c>
      <c r="E624" s="5">
        <v>1</v>
      </c>
      <c r="F624" s="106" t="s">
        <v>2252</v>
      </c>
      <c r="G624" s="5" t="str">
        <f t="shared" si="27"/>
        <v>MM5_5</v>
      </c>
    </row>
    <row r="625" spans="1:7" ht="28">
      <c r="A625" s="5" t="s">
        <v>2258</v>
      </c>
      <c r="B625" s="6" t="str">
        <f>A625&amp;". Is this a reason why you started using financial services on your mobile phone? "&amp;Other!E32</f>
        <v>MM5.6. Is this a reason why you started using financial services on your mobile phone? To make a purchase</v>
      </c>
      <c r="C625" s="6" t="s">
        <v>2059</v>
      </c>
      <c r="D625" s="5" t="s">
        <v>31</v>
      </c>
      <c r="E625" s="5">
        <v>1</v>
      </c>
      <c r="F625" s="106" t="s">
        <v>2252</v>
      </c>
      <c r="G625" s="5" t="str">
        <f t="shared" si="27"/>
        <v>MM5_6</v>
      </c>
    </row>
    <row r="626" spans="1:7" ht="28">
      <c r="A626" s="5" t="s">
        <v>2259</v>
      </c>
      <c r="B626" s="6" t="str">
        <f>A626&amp;". Is this a reason why you started using financial services on your mobile phone? "&amp;Other!E33</f>
        <v>MM5.7. Is this a reason why you started using financial services on your mobile phone? To make an investment</v>
      </c>
      <c r="C626" s="6" t="s">
        <v>2059</v>
      </c>
      <c r="D626" s="5" t="s">
        <v>31</v>
      </c>
      <c r="E626" s="5">
        <v>1</v>
      </c>
      <c r="F626" s="106" t="s">
        <v>2252</v>
      </c>
      <c r="G626" s="5" t="str">
        <f t="shared" si="27"/>
        <v>MM5_7</v>
      </c>
    </row>
    <row r="627" spans="1:7" ht="28">
      <c r="A627" s="5" t="s">
        <v>2260</v>
      </c>
      <c r="B627" s="6" t="str">
        <f>A627&amp;". Is this a reason why you started using financial services on your mobile phone? "&amp;Other!E34</f>
        <v xml:space="preserve">MM5.8. Is this a reason why you started using financial services on your mobile phone? To pay a bill </v>
      </c>
      <c r="C627" s="6" t="s">
        <v>2059</v>
      </c>
      <c r="D627" s="5" t="s">
        <v>31</v>
      </c>
      <c r="E627" s="5">
        <v>1</v>
      </c>
      <c r="F627" s="106" t="s">
        <v>2252</v>
      </c>
      <c r="G627" s="5" t="str">
        <f t="shared" si="27"/>
        <v>MM5_8</v>
      </c>
    </row>
    <row r="628" spans="1:7" ht="28">
      <c r="A628" s="5" t="s">
        <v>2261</v>
      </c>
      <c r="B628" s="6" t="str">
        <f>A628&amp;". Is this a reason why you started using financial services on your mobile phone? "&amp;Other!E35</f>
        <v xml:space="preserve">MM5.9. Is this a reason why you started using financial services on your mobile phone? You got an incentive from the mobile money service during a promotion </v>
      </c>
      <c r="C628" s="6" t="s">
        <v>2059</v>
      </c>
      <c r="D628" s="5" t="s">
        <v>31</v>
      </c>
      <c r="E628" s="5">
        <v>1</v>
      </c>
      <c r="F628" s="106" t="s">
        <v>2252</v>
      </c>
      <c r="G628" s="5" t="str">
        <f t="shared" si="27"/>
        <v>MM5_9</v>
      </c>
    </row>
    <row r="629" spans="1:7" ht="30" customHeight="1"/>
    <row r="645" spans="8:8" s="1" customFormat="1" ht="13">
      <c r="H645" s="43"/>
    </row>
    <row r="653" spans="8:8">
      <c r="H653" s="265"/>
    </row>
    <row r="654" spans="8:8">
      <c r="H654" s="265"/>
    </row>
    <row r="655" spans="8:8">
      <c r="H655" s="265"/>
    </row>
    <row r="674" spans="5:5">
      <c r="E674" s="5"/>
    </row>
    <row r="675" spans="5:5">
      <c r="E675" s="5"/>
    </row>
  </sheetData>
  <autoFilter ref="A3:G673" xr:uid="{00000000-0009-0000-0000-000006000000}"/>
  <mergeCells count="29">
    <mergeCell ref="A618:E618"/>
    <mergeCell ref="H653:H655"/>
    <mergeCell ref="A435:E435"/>
    <mergeCell ref="A457:E457"/>
    <mergeCell ref="A479:E479"/>
    <mergeCell ref="A517:E517"/>
    <mergeCell ref="A544:E544"/>
    <mergeCell ref="A581:E581"/>
    <mergeCell ref="A413:E413"/>
    <mergeCell ref="A186:G186"/>
    <mergeCell ref="A258:E258"/>
    <mergeCell ref="A271:E271"/>
    <mergeCell ref="A284:E284"/>
    <mergeCell ref="A295:E295"/>
    <mergeCell ref="A303:E303"/>
    <mergeCell ref="A312:E312"/>
    <mergeCell ref="A339:E339"/>
    <mergeCell ref="A366:E366"/>
    <mergeCell ref="A391:E391"/>
    <mergeCell ref="A93:G93"/>
    <mergeCell ref="A106:G106"/>
    <mergeCell ref="A116:G116"/>
    <mergeCell ref="A130:G130"/>
    <mergeCell ref="A1:G1"/>
    <mergeCell ref="A2:G2"/>
    <mergeCell ref="A27:C27"/>
    <mergeCell ref="A59:G59"/>
    <mergeCell ref="A65:C65"/>
    <mergeCell ref="A73:G73"/>
  </mergeCells>
  <hyperlinks>
    <hyperlink ref="C78" location="vDL2!A1" display="see sheet vDL2" xr:uid="{00000000-0004-0000-0600-000000000000}"/>
    <hyperlink ref="C77" location="vDL1!A1" display="see sheet vDL1" xr:uid="{00000000-0004-0000-0600-000001000000}"/>
    <hyperlink ref="C64" location="'vDG4'!A1" display="see vDG4 sheet" xr:uid="{00000000-0004-0000-0600-000002000000}"/>
  </hyperlinks>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7"/>
  <sheetViews>
    <sheetView workbookViewId="0">
      <selection activeCell="B173" sqref="B173"/>
    </sheetView>
  </sheetViews>
  <sheetFormatPr baseColWidth="10" defaultColWidth="8.83203125" defaultRowHeight="15"/>
  <cols>
    <col min="1" max="1" width="19.5" bestFit="1" customWidth="1"/>
    <col min="2" max="2" width="25" bestFit="1" customWidth="1"/>
    <col min="3" max="4" width="25" customWidth="1"/>
    <col min="5" max="5" width="26.83203125" customWidth="1"/>
    <col min="6" max="6" width="20.6640625" customWidth="1"/>
  </cols>
  <sheetData>
    <row r="1" spans="1:9" s="129" customFormat="1">
      <c r="A1" s="129" t="s">
        <v>2262</v>
      </c>
      <c r="B1" s="129" t="s">
        <v>2263</v>
      </c>
      <c r="C1" s="129" t="s">
        <v>2264</v>
      </c>
      <c r="E1" s="129" t="s">
        <v>2265</v>
      </c>
      <c r="F1" s="129" t="s">
        <v>2266</v>
      </c>
    </row>
    <row r="2" spans="1:9" ht="15.75" customHeight="1">
      <c r="A2" s="130" t="s">
        <v>2267</v>
      </c>
      <c r="B2" s="131" t="s">
        <v>2268</v>
      </c>
      <c r="C2" s="131" t="s">
        <v>2269</v>
      </c>
      <c r="D2" s="131" t="s">
        <v>2270</v>
      </c>
      <c r="E2" t="s">
        <v>2271</v>
      </c>
      <c r="F2" s="132" t="s">
        <v>2272</v>
      </c>
      <c r="H2" s="132"/>
      <c r="I2" s="132"/>
    </row>
    <row r="3" spans="1:9">
      <c r="A3" s="130" t="s">
        <v>2273</v>
      </c>
      <c r="B3" s="131" t="s">
        <v>2274</v>
      </c>
      <c r="C3" s="131" t="s">
        <v>2275</v>
      </c>
      <c r="D3" s="131" t="s">
        <v>2276</v>
      </c>
      <c r="E3" t="s">
        <v>2277</v>
      </c>
      <c r="F3" s="132" t="s">
        <v>2278</v>
      </c>
      <c r="H3" s="132"/>
      <c r="I3" s="132"/>
    </row>
    <row r="4" spans="1:9" ht="15.75" customHeight="1">
      <c r="A4" s="130" t="s">
        <v>2279</v>
      </c>
      <c r="B4" s="131" t="s">
        <v>2280</v>
      </c>
      <c r="C4" s="131" t="s">
        <v>2281</v>
      </c>
      <c r="D4" s="131" t="s">
        <v>2282</v>
      </c>
      <c r="F4" s="132"/>
      <c r="H4" s="132"/>
      <c r="I4" s="132"/>
    </row>
    <row r="5" spans="1:9">
      <c r="A5" s="133">
        <v>3</v>
      </c>
      <c r="B5" s="131" t="s">
        <v>2283</v>
      </c>
      <c r="C5" t="s">
        <v>1323</v>
      </c>
      <c r="D5" s="131" t="s">
        <v>1323</v>
      </c>
      <c r="F5" s="132"/>
      <c r="H5" s="132"/>
      <c r="I5" s="132"/>
    </row>
    <row r="6" spans="1:9">
      <c r="A6" s="130" t="s">
        <v>2284</v>
      </c>
      <c r="B6" s="131" t="s">
        <v>2285</v>
      </c>
      <c r="C6" s="131" t="s">
        <v>2286</v>
      </c>
      <c r="D6" s="131" t="s">
        <v>2287</v>
      </c>
      <c r="F6" s="132"/>
      <c r="H6" s="132"/>
      <c r="I6" s="132"/>
    </row>
    <row r="7" spans="1:9">
      <c r="A7" s="130" t="s">
        <v>2288</v>
      </c>
      <c r="B7" s="131" t="s">
        <v>813</v>
      </c>
      <c r="C7" s="131" t="s">
        <v>2289</v>
      </c>
      <c r="D7" s="131"/>
      <c r="F7" s="132"/>
      <c r="H7" s="132"/>
      <c r="I7" s="132"/>
    </row>
    <row r="8" spans="1:9">
      <c r="A8" s="130" t="s">
        <v>2290</v>
      </c>
      <c r="B8" s="131" t="s">
        <v>789</v>
      </c>
      <c r="C8" s="131" t="s">
        <v>2291</v>
      </c>
      <c r="D8" s="131"/>
      <c r="F8" s="132"/>
      <c r="H8" s="132"/>
      <c r="I8" s="132"/>
    </row>
    <row r="9" spans="1:9">
      <c r="A9" s="130" t="s">
        <v>2292</v>
      </c>
      <c r="B9" s="131" t="s">
        <v>2293</v>
      </c>
      <c r="D9" s="131"/>
      <c r="F9" s="132"/>
    </row>
    <row r="10" spans="1:9">
      <c r="A10" s="134"/>
      <c r="B10" s="131" t="s">
        <v>2294</v>
      </c>
      <c r="D10" s="131"/>
      <c r="F10" s="132"/>
    </row>
    <row r="11" spans="1:9">
      <c r="A11" s="132"/>
      <c r="B11" s="131" t="s">
        <v>2295</v>
      </c>
      <c r="D11" s="131"/>
      <c r="F11" s="132"/>
      <c r="H11" s="132"/>
    </row>
    <row r="12" spans="1:9">
      <c r="A12" s="134"/>
      <c r="H12" s="132"/>
    </row>
    <row r="13" spans="1:9">
      <c r="A13" s="134"/>
      <c r="H13" s="132"/>
    </row>
    <row r="14" spans="1:9">
      <c r="A14" s="134"/>
      <c r="H14" s="132"/>
    </row>
    <row r="15" spans="1:9">
      <c r="A15" s="134"/>
      <c r="H15" s="132"/>
    </row>
    <row r="16" spans="1:9">
      <c r="A16" s="134"/>
    </row>
    <row r="17" spans="1:1">
      <c r="A17" s="13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6"/>
  <sheetViews>
    <sheetView workbookViewId="0">
      <selection activeCell="B173" sqref="B173"/>
    </sheetView>
  </sheetViews>
  <sheetFormatPr baseColWidth="10" defaultColWidth="8.83203125" defaultRowHeight="15"/>
  <cols>
    <col min="1" max="1" width="43.83203125" customWidth="1"/>
    <col min="2" max="2" width="39.5" customWidth="1"/>
    <col min="3" max="3" width="44.6640625" customWidth="1"/>
    <col min="4" max="4" width="38.1640625" customWidth="1"/>
    <col min="5" max="5" width="20.6640625" customWidth="1"/>
    <col min="6" max="6" width="41.33203125" customWidth="1"/>
    <col min="7" max="8" width="20.6640625" customWidth="1"/>
    <col min="9" max="9" width="46" customWidth="1"/>
    <col min="10" max="10" width="28.83203125" customWidth="1"/>
    <col min="11" max="12" width="20.6640625" customWidth="1"/>
    <col min="13" max="24" width="15.6640625" customWidth="1"/>
  </cols>
  <sheetData>
    <row r="1" spans="1:12" s="129" customFormat="1">
      <c r="A1" s="129" t="s">
        <v>2296</v>
      </c>
      <c r="B1" s="129" t="s">
        <v>2297</v>
      </c>
      <c r="C1" s="129" t="s">
        <v>2298</v>
      </c>
      <c r="D1" s="129" t="s">
        <v>2299</v>
      </c>
      <c r="E1" s="129" t="s">
        <v>2300</v>
      </c>
      <c r="F1" s="129" t="s">
        <v>2301</v>
      </c>
      <c r="G1" s="129" t="s">
        <v>2302</v>
      </c>
      <c r="H1" s="129" t="s">
        <v>2303</v>
      </c>
      <c r="I1" s="129" t="s">
        <v>2304</v>
      </c>
      <c r="J1" s="129" t="s">
        <v>2305</v>
      </c>
      <c r="K1" s="129" t="s">
        <v>2306</v>
      </c>
      <c r="L1" s="129" t="s">
        <v>2307</v>
      </c>
    </row>
    <row r="2" spans="1:12" ht="15.75" customHeight="1">
      <c r="A2" t="s">
        <v>2308</v>
      </c>
      <c r="B2" t="s">
        <v>2309</v>
      </c>
      <c r="C2" t="s">
        <v>2309</v>
      </c>
      <c r="D2" t="s">
        <v>2309</v>
      </c>
      <c r="E2" t="s">
        <v>2309</v>
      </c>
      <c r="F2" t="s">
        <v>2309</v>
      </c>
      <c r="G2" t="s">
        <v>2309</v>
      </c>
      <c r="H2" t="s">
        <v>2309</v>
      </c>
      <c r="I2" t="s">
        <v>2309</v>
      </c>
      <c r="J2" t="s">
        <v>2309</v>
      </c>
      <c r="K2" t="s">
        <v>2309</v>
      </c>
      <c r="L2" t="s">
        <v>2309</v>
      </c>
    </row>
    <row r="3" spans="1:12" ht="14.25" customHeight="1">
      <c r="A3" s="130" t="s">
        <v>1019</v>
      </c>
      <c r="B3" t="s">
        <v>2310</v>
      </c>
      <c r="C3" t="s">
        <v>2310</v>
      </c>
      <c r="D3" t="s">
        <v>2310</v>
      </c>
      <c r="E3" t="s">
        <v>2310</v>
      </c>
      <c r="F3" t="s">
        <v>2310</v>
      </c>
      <c r="G3" t="s">
        <v>2310</v>
      </c>
      <c r="H3" t="s">
        <v>2310</v>
      </c>
      <c r="I3" t="s">
        <v>2310</v>
      </c>
      <c r="J3" t="s">
        <v>2310</v>
      </c>
      <c r="K3" t="s">
        <v>2310</v>
      </c>
      <c r="L3" t="s">
        <v>2310</v>
      </c>
    </row>
    <row r="4" spans="1:12" ht="15.75" customHeight="1">
      <c r="A4" t="s">
        <v>2311</v>
      </c>
      <c r="B4" t="s">
        <v>1090</v>
      </c>
      <c r="C4" t="s">
        <v>2312</v>
      </c>
      <c r="D4" t="s">
        <v>1090</v>
      </c>
      <c r="E4" t="s">
        <v>1090</v>
      </c>
      <c r="F4" t="s">
        <v>1090</v>
      </c>
      <c r="G4" t="s">
        <v>1090</v>
      </c>
      <c r="H4" t="s">
        <v>1090</v>
      </c>
      <c r="I4" t="s">
        <v>1090</v>
      </c>
      <c r="J4" t="s">
        <v>1090</v>
      </c>
      <c r="K4" t="s">
        <v>1090</v>
      </c>
      <c r="L4" t="s">
        <v>1090</v>
      </c>
    </row>
    <row r="5" spans="1:12">
      <c r="A5" t="s">
        <v>2313</v>
      </c>
      <c r="B5" t="s">
        <v>2312</v>
      </c>
      <c r="C5" t="s">
        <v>2314</v>
      </c>
      <c r="D5" t="s">
        <v>2312</v>
      </c>
      <c r="E5" t="s">
        <v>2312</v>
      </c>
      <c r="F5" t="s">
        <v>2312</v>
      </c>
      <c r="G5" t="s">
        <v>2312</v>
      </c>
      <c r="H5" t="s">
        <v>2312</v>
      </c>
      <c r="I5" t="s">
        <v>2312</v>
      </c>
      <c r="J5" t="s">
        <v>2312</v>
      </c>
      <c r="K5" t="s">
        <v>2312</v>
      </c>
      <c r="L5" t="s">
        <v>2312</v>
      </c>
    </row>
    <row r="6" spans="1:12">
      <c r="A6" t="s">
        <v>1090</v>
      </c>
      <c r="B6" t="s">
        <v>2314</v>
      </c>
      <c r="C6" s="130" t="s">
        <v>2315</v>
      </c>
      <c r="D6" t="s">
        <v>2314</v>
      </c>
      <c r="E6" t="s">
        <v>2314</v>
      </c>
      <c r="F6" t="s">
        <v>2314</v>
      </c>
      <c r="G6" t="s">
        <v>2314</v>
      </c>
      <c r="H6" t="s">
        <v>2314</v>
      </c>
      <c r="I6" t="s">
        <v>2314</v>
      </c>
      <c r="J6" t="s">
        <v>2314</v>
      </c>
      <c r="K6" t="s">
        <v>2314</v>
      </c>
      <c r="L6" t="s">
        <v>2314</v>
      </c>
    </row>
    <row r="7" spans="1:12">
      <c r="A7" t="s">
        <v>2316</v>
      </c>
      <c r="B7" s="130" t="s">
        <v>2315</v>
      </c>
      <c r="C7" t="s">
        <v>2317</v>
      </c>
      <c r="D7" s="130" t="s">
        <v>2315</v>
      </c>
      <c r="E7" s="130" t="s">
        <v>2315</v>
      </c>
      <c r="F7" s="130" t="s">
        <v>2315</v>
      </c>
      <c r="G7" s="130" t="s">
        <v>2315</v>
      </c>
      <c r="H7" s="130" t="s">
        <v>2315</v>
      </c>
      <c r="I7" s="130" t="s">
        <v>2315</v>
      </c>
      <c r="J7" s="130" t="s">
        <v>2315</v>
      </c>
      <c r="K7" s="130" t="s">
        <v>2315</v>
      </c>
      <c r="L7" s="130" t="s">
        <v>2315</v>
      </c>
    </row>
    <row r="8" spans="1:12">
      <c r="A8" t="s">
        <v>2318</v>
      </c>
      <c r="B8" t="s">
        <v>2317</v>
      </c>
      <c r="C8" t="s">
        <v>2319</v>
      </c>
      <c r="D8" t="s">
        <v>2317</v>
      </c>
      <c r="E8" t="s">
        <v>2317</v>
      </c>
      <c r="F8" t="s">
        <v>2317</v>
      </c>
      <c r="G8" t="s">
        <v>2317</v>
      </c>
      <c r="H8" t="s">
        <v>2317</v>
      </c>
      <c r="I8" t="s">
        <v>2317</v>
      </c>
      <c r="J8" t="s">
        <v>2317</v>
      </c>
      <c r="K8" t="s">
        <v>2317</v>
      </c>
      <c r="L8" t="s">
        <v>2317</v>
      </c>
    </row>
    <row r="9" spans="1:12">
      <c r="A9" t="s">
        <v>2314</v>
      </c>
      <c r="B9" t="s">
        <v>2319</v>
      </c>
      <c r="C9" t="s">
        <v>2320</v>
      </c>
      <c r="D9" t="s">
        <v>2319</v>
      </c>
      <c r="E9" t="s">
        <v>2319</v>
      </c>
      <c r="F9" t="s">
        <v>2319</v>
      </c>
      <c r="G9" t="s">
        <v>2319</v>
      </c>
      <c r="H9" t="s">
        <v>2319</v>
      </c>
      <c r="I9" t="s">
        <v>2319</v>
      </c>
      <c r="J9" t="s">
        <v>2319</v>
      </c>
      <c r="K9" t="s">
        <v>2319</v>
      </c>
      <c r="L9" t="s">
        <v>2319</v>
      </c>
    </row>
    <row r="10" spans="1:12">
      <c r="A10" t="s">
        <v>2321</v>
      </c>
      <c r="B10" t="s">
        <v>2320</v>
      </c>
      <c r="C10" t="s">
        <v>2322</v>
      </c>
      <c r="D10" t="s">
        <v>2320</v>
      </c>
      <c r="E10" t="s">
        <v>2323</v>
      </c>
      <c r="F10" t="s">
        <v>2323</v>
      </c>
      <c r="G10" t="s">
        <v>2323</v>
      </c>
      <c r="H10" t="s">
        <v>2323</v>
      </c>
      <c r="I10" t="s">
        <v>2323</v>
      </c>
      <c r="J10" t="s">
        <v>2320</v>
      </c>
      <c r="K10" t="s">
        <v>2324</v>
      </c>
      <c r="L10" t="s">
        <v>2320</v>
      </c>
    </row>
    <row r="11" spans="1:12">
      <c r="A11" t="s">
        <v>2325</v>
      </c>
      <c r="B11" t="s">
        <v>2322</v>
      </c>
      <c r="C11" t="s">
        <v>2323</v>
      </c>
      <c r="D11" t="s">
        <v>2322</v>
      </c>
      <c r="E11" t="s">
        <v>2326</v>
      </c>
      <c r="F11" t="s">
        <v>2326</v>
      </c>
      <c r="G11" t="s">
        <v>2326</v>
      </c>
      <c r="H11" t="s">
        <v>2326</v>
      </c>
      <c r="I11" t="s">
        <v>2326</v>
      </c>
      <c r="J11" t="s">
        <v>2324</v>
      </c>
      <c r="L11" t="s">
        <v>2322</v>
      </c>
    </row>
    <row r="12" spans="1:12">
      <c r="A12" t="s">
        <v>2324</v>
      </c>
      <c r="B12" t="s">
        <v>2323</v>
      </c>
      <c r="C12" t="s">
        <v>2326</v>
      </c>
      <c r="D12" t="s">
        <v>2323</v>
      </c>
      <c r="J12" t="s">
        <v>2327</v>
      </c>
      <c r="L12" t="s">
        <v>2328</v>
      </c>
    </row>
    <row r="13" spans="1:12">
      <c r="B13" t="s">
        <v>2329</v>
      </c>
      <c r="D13" t="s">
        <v>2326</v>
      </c>
      <c r="L13" t="s">
        <v>2330</v>
      </c>
    </row>
    <row r="14" spans="1:12">
      <c r="B14" t="s">
        <v>2331</v>
      </c>
      <c r="L14" t="s">
        <v>2324</v>
      </c>
    </row>
    <row r="15" spans="1:12" ht="15.75" customHeight="1">
      <c r="L15" t="s">
        <v>2332</v>
      </c>
    </row>
    <row r="16" spans="1:12">
      <c r="K16" s="13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95A6D7F94F5AF4AA20713C9A19C5267" ma:contentTypeVersion="10" ma:contentTypeDescription="Create a new document." ma:contentTypeScope="" ma:versionID="a11e7dad8a3133ca29553ebd72454b8b">
  <xsd:schema xmlns:xsd="http://www.w3.org/2001/XMLSchema" xmlns:xs="http://www.w3.org/2001/XMLSchema" xmlns:p="http://schemas.microsoft.com/office/2006/metadata/properties" xmlns:ns2="1671c26e-3ddf-4500-98a8-bd03291757c3" xmlns:ns3="e4412491-668d-40a7-b736-069b233de702" targetNamespace="http://schemas.microsoft.com/office/2006/metadata/properties" ma:root="true" ma:fieldsID="34c29e51a2d5cfd3b02c01fa1377b33f" ns2:_="" ns3:_="">
    <xsd:import namespace="1671c26e-3ddf-4500-98a8-bd03291757c3"/>
    <xsd:import namespace="e4412491-668d-40a7-b736-069b233de70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71c26e-3ddf-4500-98a8-bd03291757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412491-668d-40a7-b736-069b233de70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8655AA-BF9E-49A8-9D6C-6094C1392D75}">
  <ds:schemaRefs>
    <ds:schemaRef ds:uri="http://schemas.microsoft.com/sharepoint/v3/contenttype/forms"/>
  </ds:schemaRefs>
</ds:datastoreItem>
</file>

<file path=customXml/itemProps2.xml><?xml version="1.0" encoding="utf-8"?>
<ds:datastoreItem xmlns:ds="http://schemas.openxmlformats.org/officeDocument/2006/customXml" ds:itemID="{97731E49-A951-46C1-B21F-7DCB5B0B1747}"/>
</file>

<file path=customXml/itemProps3.xml><?xml version="1.0" encoding="utf-8"?>
<ds:datastoreItem xmlns:ds="http://schemas.openxmlformats.org/officeDocument/2006/customXml" ds:itemID="{93F0C6F2-3013-4092-8AF0-EFDA43AA02E3}">
  <ds:schemaRefs>
    <ds:schemaRef ds:uri="http://www.w3.org/XML/1998/namespace"/>
    <ds:schemaRef ds:uri="http://schemas.microsoft.com/office/2006/documentManagement/types"/>
    <ds:schemaRef ds:uri="http://purl.org/dc/dcmitype/"/>
    <ds:schemaRef ds:uri="1671c26e-3ddf-4500-98a8-bd03291757c3"/>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Codebook</vt:lpstr>
      <vt:lpstr>OJK</vt:lpstr>
      <vt:lpstr>vFM1</vt:lpstr>
      <vt:lpstr>REF</vt:lpstr>
      <vt:lpstr>Other</vt:lpstr>
      <vt:lpstr>vFM2</vt:lpstr>
      <vt:lpstr>Indonesia</vt:lpstr>
      <vt:lpstr>brand name</vt:lpstr>
      <vt:lpstr>Institution</vt:lpstr>
      <vt:lpstr>Activity</vt:lpstr>
      <vt:lpstr>vDG4</vt:lpstr>
      <vt:lpstr>vDL1</vt:lpstr>
      <vt:lpstr>vDL2</vt:lpstr>
      <vt:lpstr>Sheet1</vt:lpstr>
      <vt:lpstr>Indonesia!_Toc483260300</vt:lpstr>
      <vt:lpstr>Indonesia!_Toc483260301</vt:lpstr>
      <vt:lpstr>Indonesia!_Toc483260303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Shiyun Mai</dc:creator>
  <cp:keywords/>
  <dc:description/>
  <cp:lastModifiedBy>Samuel Schueth</cp:lastModifiedBy>
  <cp:revision/>
  <dcterms:created xsi:type="dcterms:W3CDTF">2018-09-26T18:43:14Z</dcterms:created>
  <dcterms:modified xsi:type="dcterms:W3CDTF">2019-10-08T17:33:34Z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0x010100395A6D7F94F5AF4AA20713C9A19C5267</vt:lpwstr>
  </property>
  <property fmtid="{D5CDD505-2E9C-101B-9397-08002B2CF9AE}" pid="3" name="AuthorIds_UIVersion_2560">
    <vt:lpwstr>33</vt:lpwstr>
  </property>
</Properties>
</file>