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ELL\Desktop\AGMP-Fin-1\"/>
    </mc:Choice>
  </mc:AlternateContent>
  <xr:revisionPtr revIDLastSave="0" documentId="13_ncr:1_{B8E2C01A-8FED-4CC5-8DEF-6F8E6017627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tyker-AGMP-2021" sheetId="1" r:id="rId1"/>
    <sheet name="Sheet2" sheetId="2" r:id="rId2"/>
  </sheets>
  <externalReferences>
    <externalReference r:id="rId3"/>
  </externalReferences>
  <definedNames>
    <definedName name="growth_rate" localSheetId="0">#REF!</definedName>
    <definedName name="growth_rate">#REF!</definedName>
    <definedName name="growth_rate_r">#REF!</definedName>
    <definedName name="Hurdle_rate">'[1]Stryker-corp.'!$D$3</definedName>
    <definedName name="_xlnm.Print_Area" localSheetId="0">'Styker-AGMP-2021'!$B$2:$L$37</definedName>
    <definedName name="Tax_rate">'[1]Stryker-corp.'!$D$4</definedName>
    <definedName name="Total_capex" localSheetId="0">#REF!</definedName>
    <definedName name="Total_cape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G2" i="2"/>
  <c r="H2" i="2" s="1"/>
  <c r="I2" i="2" s="1"/>
  <c r="J2" i="2" s="1"/>
  <c r="K2" i="2" s="1"/>
  <c r="G28" i="1"/>
  <c r="H28" i="1" s="1"/>
  <c r="I28" i="1" s="1"/>
  <c r="J28" i="1" s="1"/>
  <c r="K28" i="1" s="1"/>
  <c r="E26" i="1"/>
  <c r="K24" i="1"/>
  <c r="K25" i="1" s="1"/>
  <c r="J24" i="1"/>
  <c r="I24" i="1"/>
  <c r="I25" i="1" s="1"/>
  <c r="H24" i="1"/>
  <c r="G24" i="1"/>
  <c r="G25" i="1" s="1"/>
  <c r="I22" i="1"/>
  <c r="H22" i="1"/>
  <c r="G22" i="1"/>
  <c r="F22" i="1"/>
  <c r="K21" i="1"/>
  <c r="J21" i="1"/>
  <c r="I21" i="1"/>
  <c r="H21" i="1"/>
  <c r="G21" i="1"/>
  <c r="F21" i="1"/>
  <c r="K20" i="1"/>
  <c r="J20" i="1"/>
  <c r="I20" i="1"/>
  <c r="H20" i="1"/>
  <c r="G20" i="1"/>
  <c r="F20" i="1"/>
  <c r="K16" i="1"/>
  <c r="K17" i="1" s="1"/>
  <c r="J16" i="1"/>
  <c r="J17" i="1" s="1"/>
  <c r="I16" i="1"/>
  <c r="I17" i="1" s="1"/>
  <c r="H16" i="1"/>
  <c r="H17" i="1" s="1"/>
  <c r="G16" i="1"/>
  <c r="G17" i="1" s="1"/>
  <c r="F16" i="1"/>
  <c r="F17" i="1" s="1"/>
  <c r="F27" i="1" s="1"/>
  <c r="E16" i="1"/>
  <c r="E17" i="1" s="1"/>
  <c r="E27" i="1" s="1"/>
  <c r="G9" i="1"/>
  <c r="H9" i="1" s="1"/>
  <c r="I9" i="1" s="1"/>
  <c r="J9" i="1" s="1"/>
  <c r="K9" i="1" s="1"/>
  <c r="F8" i="1"/>
  <c r="G8" i="1" s="1"/>
  <c r="H8" i="1" s="1"/>
  <c r="I8" i="1" s="1"/>
  <c r="J8" i="1" s="1"/>
  <c r="K8" i="1" s="1"/>
  <c r="K7" i="1"/>
  <c r="K6" i="1"/>
  <c r="K5" i="1"/>
  <c r="K4" i="1"/>
  <c r="G27" i="1" l="1"/>
  <c r="J25" i="1"/>
  <c r="J27" i="1"/>
  <c r="J35" i="1" s="1"/>
  <c r="K27" i="1"/>
  <c r="K29" i="1" s="1"/>
  <c r="J32" i="1"/>
  <c r="K32" i="1" s="1"/>
  <c r="J31" i="1"/>
  <c r="K31" i="1" s="1"/>
  <c r="K33" i="1" s="1"/>
  <c r="H25" i="1"/>
  <c r="H27" i="1" s="1"/>
  <c r="D33" i="1" s="1"/>
  <c r="E29" i="1"/>
  <c r="E35" i="1"/>
  <c r="F35" i="1"/>
  <c r="F29" i="1"/>
  <c r="I27" i="1"/>
  <c r="G35" i="1"/>
  <c r="G29" i="1"/>
  <c r="K35" i="1" l="1"/>
  <c r="J29" i="1"/>
  <c r="K34" i="1"/>
  <c r="I35" i="1"/>
  <c r="I29" i="1"/>
  <c r="H35" i="1"/>
  <c r="F33" i="1" s="1"/>
  <c r="H29" i="1"/>
  <c r="D32" i="1" l="1"/>
  <c r="F32" i="1" s="1"/>
  <c r="G32" i="1" s="1"/>
</calcChain>
</file>

<file path=xl/sharedStrings.xml><?xml version="1.0" encoding="utf-8"?>
<sst xmlns="http://schemas.openxmlformats.org/spreadsheetml/2006/main" count="52" uniqueCount="47">
  <si>
    <t xml:space="preserve">Stryker Corporation </t>
  </si>
  <si>
    <t xml:space="preserve">Hurdle rate </t>
  </si>
  <si>
    <t>Cost</t>
  </si>
  <si>
    <t>Life (yrs.)</t>
  </si>
  <si>
    <t xml:space="preserve">Tax rate </t>
  </si>
  <si>
    <t>Buildings</t>
  </si>
  <si>
    <t>Land cost</t>
  </si>
  <si>
    <t>Owned</t>
  </si>
  <si>
    <t>Mfg. equip.</t>
  </si>
  <si>
    <t xml:space="preserve">Non-mfg. equipement </t>
  </si>
  <si>
    <t xml:space="preserve">2009 100% capacity utilisation </t>
  </si>
  <si>
    <t xml:space="preserve">IT infra </t>
  </si>
  <si>
    <t xml:space="preserve">Decline in outside procurement </t>
  </si>
  <si>
    <t>Increase in mfg. cost</t>
  </si>
  <si>
    <t xml:space="preserve">Architecture and enginerting </t>
  </si>
  <si>
    <t>See Note 1, p3</t>
  </si>
  <si>
    <t xml:space="preserve">All the following figures are incremental </t>
  </si>
  <si>
    <t xml:space="preserve">PBIT </t>
  </si>
  <si>
    <t>PBIT (1-T)</t>
  </si>
  <si>
    <t xml:space="preserve">FCF Estimation </t>
  </si>
  <si>
    <t>Derpeciation:</t>
  </si>
  <si>
    <t xml:space="preserve">Building </t>
  </si>
  <si>
    <t>1/2 depn.</t>
  </si>
  <si>
    <t xml:space="preserve">Mfg. equipment </t>
  </si>
  <si>
    <t xml:space="preserve">Non-mfg. equp.+IT </t>
  </si>
  <si>
    <t>Difference in NWC</t>
  </si>
  <si>
    <t>Savings in NWC</t>
  </si>
  <si>
    <t>Capex</t>
  </si>
  <si>
    <t>FCF</t>
  </si>
  <si>
    <t xml:space="preserve">Time line </t>
  </si>
  <si>
    <t>Assumes that the cash flows</t>
  </si>
  <si>
    <t>PV-FCF</t>
  </si>
  <si>
    <t>are the end of the year</t>
  </si>
  <si>
    <t xml:space="preserve">Liquidation value building </t>
  </si>
  <si>
    <t>Depn.</t>
  </si>
  <si>
    <t>Res.value</t>
  </si>
  <si>
    <t>And evaluation is  at mid-2003</t>
  </si>
  <si>
    <t>W/O Liq Bld</t>
  </si>
  <si>
    <t>with Liq.Bd</t>
  </si>
  <si>
    <t>with AP adj.</t>
  </si>
  <si>
    <t>Bldg</t>
  </si>
  <si>
    <t xml:space="preserve">NPV </t>
  </si>
  <si>
    <t>Mfg.eqp</t>
  </si>
  <si>
    <t>IRR</t>
  </si>
  <si>
    <t xml:space="preserve">Total </t>
  </si>
  <si>
    <t>AP</t>
  </si>
  <si>
    <t>FCF with 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</si>
</sst>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0" xfId="0" applyFont="1" applyFill="1"/>
    <xf numFmtId="0" fontId="2" fillId="0" borderId="0" xfId="0" applyFont="1" applyFill="1"/>
    <xf numFmtId="9" fontId="0" fillId="0" borderId="0" xfId="0" applyNumberFormat="1"/>
    <xf numFmtId="0" fontId="0" fillId="0" borderId="0" xfId="0" applyAlignment="1">
      <alignment horizontal="left" indent="1"/>
    </xf>
    <xf numFmtId="4" fontId="0" fillId="0" borderId="0" xfId="0" applyNumberForma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0" fillId="0" borderId="2" xfId="0" applyBorder="1"/>
    <xf numFmtId="0" fontId="1" fillId="0" borderId="2" xfId="0" applyFont="1" applyBorder="1"/>
    <xf numFmtId="0" fontId="1" fillId="0" borderId="0" xfId="0" applyFont="1" applyBorder="1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0" fontId="0" fillId="0" borderId="0" xfId="0" quotePrefix="1"/>
    <xf numFmtId="4" fontId="0" fillId="0" borderId="0" xfId="0" quotePrefix="1" applyNumberFormat="1"/>
    <xf numFmtId="0" fontId="0" fillId="0" borderId="0" xfId="0" applyAlignment="1">
      <alignment horizontal="left"/>
    </xf>
    <xf numFmtId="4" fontId="0" fillId="0" borderId="0" xfId="0" applyNumberForma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 applyBorder="1"/>
    <xf numFmtId="4" fontId="0" fillId="3" borderId="1" xfId="0" applyNumberFormat="1" applyFill="1" applyBorder="1"/>
    <xf numFmtId="4" fontId="0" fillId="0" borderId="3" xfId="0" applyNumberFormat="1" applyBorder="1"/>
    <xf numFmtId="0" fontId="0" fillId="3" borderId="0" xfId="0" applyFill="1" applyBorder="1"/>
    <xf numFmtId="4" fontId="0" fillId="0" borderId="2" xfId="0" applyNumberFormat="1" applyBorder="1"/>
    <xf numFmtId="0" fontId="1" fillId="0" borderId="0" xfId="0" applyFont="1"/>
    <xf numFmtId="0" fontId="0" fillId="0" borderId="0" xfId="0" applyFill="1" applyBorder="1"/>
    <xf numFmtId="0" fontId="1" fillId="0" borderId="4" xfId="0" applyFont="1" applyBorder="1"/>
    <xf numFmtId="0" fontId="1" fillId="0" borderId="3" xfId="0" applyFont="1" applyBorder="1"/>
    <xf numFmtId="4" fontId="1" fillId="0" borderId="5" xfId="0" applyNumberFormat="1" applyFont="1" applyBorder="1"/>
    <xf numFmtId="4" fontId="1" fillId="0" borderId="0" xfId="0" applyNumberFormat="1" applyFont="1"/>
    <xf numFmtId="0" fontId="0" fillId="0" borderId="0" xfId="0" applyFill="1"/>
    <xf numFmtId="0" fontId="1" fillId="0" borderId="6" xfId="0" applyFont="1" applyBorder="1"/>
    <xf numFmtId="0" fontId="1" fillId="0" borderId="7" xfId="0" applyFont="1" applyBorder="1"/>
    <xf numFmtId="10" fontId="1" fillId="0" borderId="8" xfId="0" applyNumberFormat="1" applyFon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yjacob/Google%20Drive/Teaching/MDPs/IOC/IOC-Nov-2017/Stryker-Corporation-T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yker-corp-NPV"/>
      <sheetName val="Stryker-corp."/>
      <sheetName val="in-sourcing-PCBs"/>
    </sheetNames>
    <sheetDataSet>
      <sheetData sheetId="0" refreshError="1"/>
      <sheetData sheetId="1" refreshError="1">
        <row r="3">
          <cell r="D3">
            <v>0.15</v>
          </cell>
        </row>
        <row r="4">
          <cell r="D4">
            <v>0.36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8"/>
  <sheetViews>
    <sheetView tabSelected="1" topLeftCell="A10" zoomScale="130" zoomScaleNormal="130" workbookViewId="0">
      <selection activeCell="E23" sqref="E23"/>
    </sheetView>
  </sheetViews>
  <sheetFormatPr defaultRowHeight="14.4" x14ac:dyDescent="0.3"/>
  <cols>
    <col min="5" max="5" width="10.109375" bestFit="1" customWidth="1"/>
    <col min="6" max="11" width="11.109375" customWidth="1"/>
  </cols>
  <sheetData>
    <row r="2" spans="2:13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2"/>
      <c r="M2" s="2"/>
    </row>
    <row r="3" spans="2:13" x14ac:dyDescent="0.3">
      <c r="B3" t="s">
        <v>1</v>
      </c>
      <c r="D3" s="3">
        <v>0.15</v>
      </c>
      <c r="I3" t="s">
        <v>2</v>
      </c>
      <c r="J3" t="s">
        <v>3</v>
      </c>
    </row>
    <row r="4" spans="2:13" x14ac:dyDescent="0.3">
      <c r="B4" t="s">
        <v>4</v>
      </c>
      <c r="D4" s="3">
        <v>0.36</v>
      </c>
      <c r="F4" s="4" t="s">
        <v>5</v>
      </c>
      <c r="I4" s="5">
        <v>3030</v>
      </c>
      <c r="J4">
        <v>30</v>
      </c>
      <c r="K4" s="5">
        <f>I4/J4</f>
        <v>101</v>
      </c>
    </row>
    <row r="5" spans="2:13" x14ac:dyDescent="0.3">
      <c r="B5" t="s">
        <v>6</v>
      </c>
      <c r="D5" s="6" t="s">
        <v>7</v>
      </c>
      <c r="F5" s="4" t="s">
        <v>8</v>
      </c>
      <c r="I5" s="5">
        <v>2643.2579999999998</v>
      </c>
      <c r="J5">
        <v>7</v>
      </c>
      <c r="K5" s="5">
        <f>I5/J5</f>
        <v>377.60828571428567</v>
      </c>
    </row>
    <row r="6" spans="2:13" x14ac:dyDescent="0.3">
      <c r="F6" s="4" t="s">
        <v>9</v>
      </c>
      <c r="I6" s="5">
        <v>126</v>
      </c>
      <c r="J6">
        <v>3</v>
      </c>
      <c r="K6" s="5">
        <f>I6/J6</f>
        <v>42</v>
      </c>
    </row>
    <row r="7" spans="2:13" x14ac:dyDescent="0.3">
      <c r="B7" t="s">
        <v>10</v>
      </c>
      <c r="F7" s="4" t="s">
        <v>11</v>
      </c>
      <c r="I7" s="5">
        <v>210</v>
      </c>
      <c r="J7">
        <v>3</v>
      </c>
      <c r="K7" s="5">
        <f>I7/J7</f>
        <v>70</v>
      </c>
    </row>
    <row r="8" spans="2:13" x14ac:dyDescent="0.3">
      <c r="B8" s="7"/>
      <c r="C8" s="7"/>
      <c r="D8" s="7"/>
      <c r="E8" s="8">
        <v>0</v>
      </c>
      <c r="F8" s="9">
        <f t="shared" ref="F8:K9" si="0">E8+1</f>
        <v>1</v>
      </c>
      <c r="G8" s="9">
        <f t="shared" si="0"/>
        <v>2</v>
      </c>
      <c r="H8" s="9">
        <f t="shared" si="0"/>
        <v>3</v>
      </c>
      <c r="I8" s="9">
        <f t="shared" si="0"/>
        <v>4</v>
      </c>
      <c r="J8" s="9">
        <f t="shared" si="0"/>
        <v>5</v>
      </c>
      <c r="K8" s="9">
        <f t="shared" si="0"/>
        <v>6</v>
      </c>
      <c r="L8" s="10"/>
    </row>
    <row r="9" spans="2:13" ht="15" thickBot="1" x14ac:dyDescent="0.35">
      <c r="B9" s="11"/>
      <c r="C9" s="11"/>
      <c r="D9" s="11"/>
      <c r="E9" s="12">
        <v>2003</v>
      </c>
      <c r="F9" s="12">
        <v>2004</v>
      </c>
      <c r="G9" s="12">
        <f t="shared" si="0"/>
        <v>2005</v>
      </c>
      <c r="H9" s="12">
        <f t="shared" si="0"/>
        <v>2006</v>
      </c>
      <c r="I9" s="12">
        <f t="shared" si="0"/>
        <v>2007</v>
      </c>
      <c r="J9" s="12">
        <f t="shared" si="0"/>
        <v>2008</v>
      </c>
      <c r="K9" s="12">
        <f t="shared" si="0"/>
        <v>2009</v>
      </c>
      <c r="L9" s="13"/>
      <c r="M9" s="13"/>
    </row>
    <row r="10" spans="2:13" x14ac:dyDescent="0.3">
      <c r="B10" t="s">
        <v>12</v>
      </c>
      <c r="F10" s="14">
        <v>0</v>
      </c>
      <c r="G10" s="14">
        <v>6438.2521822500039</v>
      </c>
      <c r="H10" s="14">
        <v>11773.605286000004</v>
      </c>
      <c r="I10" s="14">
        <v>14363.798448920004</v>
      </c>
      <c r="J10" s="14">
        <v>16518.368216258004</v>
      </c>
      <c r="K10" s="14">
        <v>20152.409223834766</v>
      </c>
      <c r="L10" s="15"/>
      <c r="M10" s="15"/>
    </row>
    <row r="11" spans="2:13" x14ac:dyDescent="0.3">
      <c r="B11" t="s">
        <v>13</v>
      </c>
      <c r="F11" s="14">
        <v>1712.0872382499999</v>
      </c>
      <c r="G11" s="14">
        <v>7847.5408115395367</v>
      </c>
      <c r="H11" s="14">
        <v>9553.9634495782884</v>
      </c>
      <c r="I11" s="14">
        <v>10498.506953003534</v>
      </c>
      <c r="J11" s="14">
        <v>11706.178280467353</v>
      </c>
      <c r="K11" s="14">
        <v>13650.762134254288</v>
      </c>
      <c r="L11" s="15"/>
      <c r="M11" s="15"/>
    </row>
    <row r="12" spans="2:13" x14ac:dyDescent="0.3">
      <c r="F12" s="14">
        <f>F10-F11</f>
        <v>-1712.0872382499999</v>
      </c>
      <c r="G12" s="14">
        <f t="shared" ref="G12:K12" si="1">G10-G11</f>
        <v>-1409.2886292895328</v>
      </c>
      <c r="H12" s="14">
        <f t="shared" si="1"/>
        <v>2219.6418364217152</v>
      </c>
      <c r="I12" s="14">
        <f t="shared" si="1"/>
        <v>3865.29149591647</v>
      </c>
      <c r="J12" s="14">
        <f t="shared" si="1"/>
        <v>4812.1899357906514</v>
      </c>
      <c r="K12" s="14">
        <f t="shared" si="1"/>
        <v>6501.6470895804778</v>
      </c>
      <c r="L12" s="15"/>
      <c r="M12" s="15"/>
    </row>
    <row r="13" spans="2:13" x14ac:dyDescent="0.3">
      <c r="B13" t="s">
        <v>14</v>
      </c>
      <c r="E13">
        <v>278</v>
      </c>
      <c r="L13" s="16"/>
      <c r="M13" s="16"/>
    </row>
    <row r="14" spans="2:13" x14ac:dyDescent="0.3">
      <c r="B14" s="7" t="s">
        <v>15</v>
      </c>
      <c r="L14" s="16"/>
      <c r="M14" s="16"/>
    </row>
    <row r="15" spans="2:13" x14ac:dyDescent="0.3">
      <c r="B15" s="7" t="s">
        <v>16</v>
      </c>
      <c r="L15" s="16"/>
      <c r="M15" s="16"/>
    </row>
    <row r="16" spans="2:13" x14ac:dyDescent="0.3">
      <c r="B16" t="s">
        <v>17</v>
      </c>
      <c r="E16" s="14">
        <f t="shared" ref="E16:K16" si="2">E10-E11-E13</f>
        <v>-278</v>
      </c>
      <c r="F16" s="14">
        <f t="shared" si="2"/>
        <v>-1712.0872382499999</v>
      </c>
      <c r="G16" s="14">
        <f t="shared" si="2"/>
        <v>-1409.2886292895328</v>
      </c>
      <c r="H16" s="14">
        <f t="shared" si="2"/>
        <v>2219.6418364217152</v>
      </c>
      <c r="I16" s="14">
        <f t="shared" si="2"/>
        <v>3865.29149591647</v>
      </c>
      <c r="J16" s="14">
        <f t="shared" si="2"/>
        <v>4812.1899357906514</v>
      </c>
      <c r="K16" s="14">
        <f t="shared" si="2"/>
        <v>6501.6470895804778</v>
      </c>
      <c r="L16" s="15"/>
      <c r="M16" s="15"/>
    </row>
    <row r="17" spans="2:16" x14ac:dyDescent="0.3">
      <c r="B17" t="s">
        <v>18</v>
      </c>
      <c r="E17" s="14">
        <f t="shared" ref="E17:K17" si="3">E16*(1-$D$4)</f>
        <v>-177.92000000000002</v>
      </c>
      <c r="F17" s="14">
        <f t="shared" si="3"/>
        <v>-1095.73583248</v>
      </c>
      <c r="G17" s="14">
        <f t="shared" si="3"/>
        <v>-901.94472274530096</v>
      </c>
      <c r="H17" s="14">
        <f t="shared" si="3"/>
        <v>1420.5707753098977</v>
      </c>
      <c r="I17" s="14">
        <f t="shared" si="3"/>
        <v>2473.7865573865411</v>
      </c>
      <c r="J17" s="14">
        <f t="shared" si="3"/>
        <v>3079.8015589060169</v>
      </c>
      <c r="K17" s="14">
        <f t="shared" si="3"/>
        <v>4161.0541373315054</v>
      </c>
      <c r="L17" s="15"/>
      <c r="M17" s="15"/>
    </row>
    <row r="18" spans="2:16" ht="15" thickBot="1" x14ac:dyDescent="0.35">
      <c r="B18" s="12" t="s">
        <v>19</v>
      </c>
      <c r="C18" s="12"/>
      <c r="D18" s="12"/>
      <c r="E18" s="12"/>
      <c r="F18" s="12"/>
      <c r="G18" s="12"/>
      <c r="H18" s="12"/>
      <c r="I18" s="12"/>
      <c r="J18" s="12"/>
      <c r="K18" s="12"/>
      <c r="L18" s="13"/>
      <c r="M18" s="13"/>
    </row>
    <row r="19" spans="2:16" x14ac:dyDescent="0.3">
      <c r="B19" t="s">
        <v>20</v>
      </c>
      <c r="L19" s="16"/>
      <c r="M19" s="16"/>
    </row>
    <row r="20" spans="2:16" x14ac:dyDescent="0.3">
      <c r="B20" s="4" t="s">
        <v>21</v>
      </c>
      <c r="D20" s="17" t="s">
        <v>22</v>
      </c>
      <c r="E20" s="5"/>
      <c r="F20" s="14">
        <f>$I$4/$J$4/2</f>
        <v>50.5</v>
      </c>
      <c r="G20" s="14">
        <f t="shared" ref="G20:K20" si="4">$I$4/$J$4</f>
        <v>101</v>
      </c>
      <c r="H20" s="14">
        <f t="shared" si="4"/>
        <v>101</v>
      </c>
      <c r="I20" s="14">
        <f t="shared" si="4"/>
        <v>101</v>
      </c>
      <c r="J20" s="14">
        <f t="shared" si="4"/>
        <v>101</v>
      </c>
      <c r="K20" s="14">
        <f t="shared" si="4"/>
        <v>101</v>
      </c>
      <c r="L20" s="15"/>
      <c r="M20" s="15"/>
    </row>
    <row r="21" spans="2:16" x14ac:dyDescent="0.3">
      <c r="B21" s="4" t="s">
        <v>23</v>
      </c>
      <c r="D21" s="18" t="s">
        <v>22</v>
      </c>
      <c r="F21" s="14">
        <f>$I$5/$J$5/2</f>
        <v>188.80414285714284</v>
      </c>
      <c r="G21" s="14">
        <f t="shared" ref="G21:K21" si="5">$I$5/$J$5</f>
        <v>377.60828571428567</v>
      </c>
      <c r="H21" s="14">
        <f t="shared" si="5"/>
        <v>377.60828571428567</v>
      </c>
      <c r="I21" s="14">
        <f t="shared" si="5"/>
        <v>377.60828571428567</v>
      </c>
      <c r="J21" s="14">
        <f t="shared" si="5"/>
        <v>377.60828571428567</v>
      </c>
      <c r="K21" s="14">
        <f t="shared" si="5"/>
        <v>377.60828571428567</v>
      </c>
      <c r="L21" s="15"/>
      <c r="M21" s="15"/>
    </row>
    <row r="22" spans="2:16" x14ac:dyDescent="0.3">
      <c r="B22" s="4" t="s">
        <v>24</v>
      </c>
      <c r="D22" s="18" t="s">
        <v>22</v>
      </c>
      <c r="F22">
        <f>SUM($I$6:$I$7)/$J$6/2</f>
        <v>56</v>
      </c>
      <c r="G22">
        <f>SUM($I$6:$I$7)/$J$6</f>
        <v>112</v>
      </c>
      <c r="H22">
        <f>SUM($I$6:$I$7)/$J$6</f>
        <v>112</v>
      </c>
      <c r="I22">
        <f>SUM($I$6:$I$7)/$J$6/2</f>
        <v>56</v>
      </c>
      <c r="L22" s="16"/>
      <c r="M22" s="16"/>
    </row>
    <row r="23" spans="2:16" x14ac:dyDescent="0.3">
      <c r="B23" s="4"/>
      <c r="L23" s="16"/>
      <c r="M23" s="16"/>
    </row>
    <row r="24" spans="2:16" x14ac:dyDescent="0.3">
      <c r="B24" s="19" t="s">
        <v>25</v>
      </c>
      <c r="F24">
        <v>0</v>
      </c>
      <c r="G24" s="5">
        <f>9953/1000</f>
        <v>9.9529999999999994</v>
      </c>
      <c r="H24" s="5">
        <f>165683/1000</f>
        <v>165.68299999999999</v>
      </c>
      <c r="I24" s="5">
        <f>184928/1000</f>
        <v>184.928</v>
      </c>
      <c r="J24" s="5">
        <f>212667/1000</f>
        <v>212.667</v>
      </c>
      <c r="K24" s="5">
        <f>259454/1000</f>
        <v>259.45400000000001</v>
      </c>
      <c r="L24" s="20"/>
      <c r="M24" s="20"/>
    </row>
    <row r="25" spans="2:16" x14ac:dyDescent="0.3">
      <c r="B25" s="19" t="s">
        <v>26</v>
      </c>
      <c r="F25">
        <v>0</v>
      </c>
      <c r="G25" s="5">
        <f t="shared" ref="G25:K25" si="6">G24-F24</f>
        <v>9.9529999999999994</v>
      </c>
      <c r="H25" s="14">
        <f t="shared" si="6"/>
        <v>155.72999999999999</v>
      </c>
      <c r="I25" s="14">
        <f t="shared" si="6"/>
        <v>19.245000000000005</v>
      </c>
      <c r="J25" s="14">
        <f t="shared" si="6"/>
        <v>27.739000000000004</v>
      </c>
      <c r="K25" s="14">
        <f t="shared" si="6"/>
        <v>46.787000000000006</v>
      </c>
      <c r="L25" s="15"/>
      <c r="M25" s="15"/>
    </row>
    <row r="26" spans="2:16" x14ac:dyDescent="0.3">
      <c r="B26" t="s">
        <v>27</v>
      </c>
      <c r="E26" s="5">
        <f>SUM(I4:I7)</f>
        <v>6009.2579999999998</v>
      </c>
      <c r="L26" s="16"/>
      <c r="M26" s="16"/>
    </row>
    <row r="27" spans="2:16" ht="15" thickBot="1" x14ac:dyDescent="0.35">
      <c r="B27" s="12" t="s">
        <v>28</v>
      </c>
      <c r="C27" s="12"/>
      <c r="D27" s="12"/>
      <c r="E27" s="21">
        <f t="shared" ref="E27" si="7">E17+SUM(E20:E22)-(E25+E26)</f>
        <v>-6187.1779999999999</v>
      </c>
      <c r="F27" s="22">
        <f>F17+SUM(F20:F22)+F25-F26</f>
        <v>-800.43168962285722</v>
      </c>
      <c r="G27" s="22">
        <f t="shared" ref="G27:K27" si="8">G17+SUM(G20:G22)+G25-G26</f>
        <v>-301.38343703101532</v>
      </c>
      <c r="H27" s="22">
        <f t="shared" si="8"/>
        <v>2166.9090610241833</v>
      </c>
      <c r="I27" s="22">
        <f t="shared" si="8"/>
        <v>3027.6398431008265</v>
      </c>
      <c r="J27" s="22">
        <f t="shared" si="8"/>
        <v>3586.1488446203025</v>
      </c>
      <c r="K27" s="22">
        <f t="shared" si="8"/>
        <v>4686.4494230457913</v>
      </c>
      <c r="L27" s="23"/>
      <c r="M27" s="23"/>
    </row>
    <row r="28" spans="2:16" x14ac:dyDescent="0.3">
      <c r="B28" t="s">
        <v>29</v>
      </c>
      <c r="E28" s="5">
        <v>0</v>
      </c>
      <c r="F28" s="24">
        <v>1</v>
      </c>
      <c r="G28" s="5">
        <f t="shared" ref="G28:K28" si="9">F28+1</f>
        <v>2</v>
      </c>
      <c r="H28" s="5">
        <f t="shared" si="9"/>
        <v>3</v>
      </c>
      <c r="I28" s="5">
        <f t="shared" si="9"/>
        <v>4</v>
      </c>
      <c r="J28" s="5">
        <f t="shared" si="9"/>
        <v>5</v>
      </c>
      <c r="K28" s="5">
        <f t="shared" si="9"/>
        <v>6</v>
      </c>
      <c r="L28" s="20"/>
      <c r="M28" s="25"/>
      <c r="N28" s="26" t="s">
        <v>30</v>
      </c>
      <c r="O28" s="26"/>
      <c r="P28" s="26"/>
    </row>
    <row r="29" spans="2:16" x14ac:dyDescent="0.3">
      <c r="B29" t="s">
        <v>31</v>
      </c>
      <c r="E29" s="5">
        <f t="shared" ref="E29:K29" si="10">E27/(1+$D$3)^E28</f>
        <v>-6187.1779999999999</v>
      </c>
      <c r="F29" s="5">
        <f t="shared" si="10"/>
        <v>-696.027556193789</v>
      </c>
      <c r="G29" s="5">
        <f t="shared" si="10"/>
        <v>-227.88917733914207</v>
      </c>
      <c r="H29" s="5">
        <f t="shared" si="10"/>
        <v>1424.7778818273587</v>
      </c>
      <c r="I29" s="5">
        <f t="shared" si="10"/>
        <v>1731.0629067796799</v>
      </c>
      <c r="J29" s="5">
        <f t="shared" si="10"/>
        <v>1782.9497748620563</v>
      </c>
      <c r="K29" s="5">
        <f t="shared" si="10"/>
        <v>2026.0814124264878</v>
      </c>
      <c r="L29" s="20"/>
      <c r="M29" s="20"/>
      <c r="N29" s="26" t="s">
        <v>32</v>
      </c>
      <c r="O29" s="26"/>
      <c r="P29" s="26"/>
    </row>
    <row r="30" spans="2:16" ht="15" thickBot="1" x14ac:dyDescent="0.35">
      <c r="B30" s="11" t="s">
        <v>33</v>
      </c>
      <c r="C30" s="11"/>
      <c r="D30" s="11"/>
      <c r="E30" s="27"/>
      <c r="F30" s="27"/>
      <c r="G30" s="27"/>
      <c r="H30" s="27"/>
      <c r="I30" s="27"/>
      <c r="J30" s="27" t="s">
        <v>34</v>
      </c>
      <c r="K30" s="27" t="s">
        <v>35</v>
      </c>
      <c r="L30" s="20"/>
      <c r="M30" s="20"/>
      <c r="N30" s="26" t="s">
        <v>36</v>
      </c>
      <c r="O30" s="26"/>
      <c r="P30" s="26"/>
    </row>
    <row r="31" spans="2:16" x14ac:dyDescent="0.3">
      <c r="D31" t="s">
        <v>37</v>
      </c>
      <c r="F31" s="28" t="s">
        <v>38</v>
      </c>
      <c r="G31" t="s">
        <v>39</v>
      </c>
      <c r="I31" t="s">
        <v>40</v>
      </c>
      <c r="J31" s="15">
        <f>SUM(F20:K20)</f>
        <v>555.5</v>
      </c>
      <c r="K31" s="15">
        <f>I4-J31</f>
        <v>2474.5</v>
      </c>
      <c r="L31" s="20"/>
      <c r="N31" s="29"/>
      <c r="O31" s="29"/>
      <c r="P31" s="29"/>
    </row>
    <row r="32" spans="2:16" x14ac:dyDescent="0.3">
      <c r="B32" s="30" t="s">
        <v>41</v>
      </c>
      <c r="C32" s="31"/>
      <c r="D32" s="32">
        <f>SUM(E29:K29)</f>
        <v>-146.2227576373491</v>
      </c>
      <c r="F32" s="33">
        <f>D32+K33/(1+15%)^K28</f>
        <v>1168.4476019845094</v>
      </c>
      <c r="G32" s="33">
        <f>F32-K34/(1+D3)^K28</f>
        <v>1056.2784779148724</v>
      </c>
      <c r="I32" t="s">
        <v>42</v>
      </c>
      <c r="J32" s="15">
        <f>SUM(F21:K21)</f>
        <v>2076.845571428571</v>
      </c>
      <c r="K32" s="15">
        <f>I5-J32</f>
        <v>566.41242857142879</v>
      </c>
      <c r="L32" s="15"/>
      <c r="N32" s="29"/>
      <c r="O32" s="34"/>
      <c r="P32" s="34"/>
    </row>
    <row r="33" spans="2:12" x14ac:dyDescent="0.3">
      <c r="B33" s="35" t="s">
        <v>43</v>
      </c>
      <c r="C33" s="36"/>
      <c r="D33" s="37">
        <f>IRR(E27:K27)</f>
        <v>0.14467141012287144</v>
      </c>
      <c r="F33" s="38">
        <f>IRR(E35:K35)</f>
        <v>0.18807501884865752</v>
      </c>
      <c r="I33" t="s">
        <v>44</v>
      </c>
      <c r="J33" s="16"/>
      <c r="K33" s="15">
        <f>SUM(K31:K32)</f>
        <v>3040.9124285714288</v>
      </c>
      <c r="L33" s="16"/>
    </row>
    <row r="34" spans="2:12" x14ac:dyDescent="0.3">
      <c r="I34" t="s">
        <v>45</v>
      </c>
      <c r="K34">
        <f>SUM(F25:K25)</f>
        <v>259.45400000000001</v>
      </c>
    </row>
    <row r="35" spans="2:12" x14ac:dyDescent="0.3">
      <c r="B35" t="s">
        <v>46</v>
      </c>
      <c r="E35" s="14">
        <f t="shared" ref="E35:J35" si="11">E27</f>
        <v>-6187.1779999999999</v>
      </c>
      <c r="F35" s="14">
        <f t="shared" si="11"/>
        <v>-800.43168962285722</v>
      </c>
      <c r="G35" s="14">
        <f t="shared" si="11"/>
        <v>-301.38343703101532</v>
      </c>
      <c r="H35" s="14">
        <f t="shared" si="11"/>
        <v>2166.9090610241833</v>
      </c>
      <c r="I35" s="14">
        <f t="shared" si="11"/>
        <v>3027.6398431008265</v>
      </c>
      <c r="J35" s="14">
        <f t="shared" si="11"/>
        <v>3586.1488446203025</v>
      </c>
      <c r="K35" s="14">
        <f>K27+SUM(K31:K32)</f>
        <v>7727.3618516172201</v>
      </c>
      <c r="L35" s="14"/>
    </row>
    <row r="36" spans="2:12" x14ac:dyDescent="0.3">
      <c r="E36" s="14"/>
      <c r="F36" s="14"/>
      <c r="G36" s="14"/>
      <c r="H36" s="14"/>
      <c r="I36" s="14"/>
      <c r="J36" s="14"/>
      <c r="K36" s="14"/>
      <c r="L36" s="14"/>
    </row>
    <row r="37" spans="2:12" x14ac:dyDescent="0.3">
      <c r="E37" s="14"/>
      <c r="F37" s="14"/>
      <c r="G37" s="14"/>
      <c r="H37" s="14"/>
      <c r="I37" s="14"/>
      <c r="J37" s="14"/>
      <c r="K37" s="14"/>
      <c r="L37" s="14"/>
    </row>
    <row r="38" spans="2:12" x14ac:dyDescent="0.3">
      <c r="G38" s="5"/>
      <c r="H38" s="5"/>
      <c r="I38" s="5"/>
      <c r="J38" s="5"/>
      <c r="K38" s="5"/>
      <c r="L38" s="5"/>
    </row>
  </sheetData>
  <printOptions horizontalCentered="1" verticalCentered="1" gridLines="1"/>
  <pageMargins left="0.15748031496062992" right="0.15748031496062992" top="0.11811023622047245" bottom="0.15748031496062992" header="0.31496062992125984" footer="0.15748031496062992"/>
  <pageSetup paperSize="9" scale="11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5"/>
  <sheetViews>
    <sheetView zoomScale="160" zoomScaleNormal="160" workbookViewId="0">
      <selection activeCell="J10" sqref="J10"/>
    </sheetView>
  </sheetViews>
  <sheetFormatPr defaultRowHeight="14.4" x14ac:dyDescent="0.3"/>
  <sheetData>
    <row r="2" spans="2:11" ht="15" thickBot="1" x14ac:dyDescent="0.35">
      <c r="B2" s="11"/>
      <c r="C2" s="11"/>
      <c r="D2" s="11"/>
      <c r="E2" s="12">
        <v>2003</v>
      </c>
      <c r="F2" s="12">
        <v>2004</v>
      </c>
      <c r="G2" s="12">
        <f t="shared" ref="G2:K2" si="0">F2+1</f>
        <v>2005</v>
      </c>
      <c r="H2" s="12">
        <f t="shared" si="0"/>
        <v>2006</v>
      </c>
      <c r="I2" s="12">
        <f t="shared" si="0"/>
        <v>2007</v>
      </c>
      <c r="J2" s="12">
        <f t="shared" si="0"/>
        <v>2008</v>
      </c>
      <c r="K2" s="12">
        <f t="shared" si="0"/>
        <v>2009</v>
      </c>
    </row>
    <row r="3" spans="2:11" x14ac:dyDescent="0.3">
      <c r="B3" t="s">
        <v>12</v>
      </c>
      <c r="F3" s="14">
        <v>0</v>
      </c>
      <c r="G3" s="14">
        <v>6438.2521822500039</v>
      </c>
      <c r="H3" s="14">
        <v>11773.605286000004</v>
      </c>
      <c r="I3" s="14">
        <v>14363.798448920004</v>
      </c>
      <c r="J3" s="14">
        <v>16518.368216258004</v>
      </c>
      <c r="K3" s="14">
        <v>20152.409223834766</v>
      </c>
    </row>
    <row r="4" spans="2:11" x14ac:dyDescent="0.3">
      <c r="B4" t="s">
        <v>13</v>
      </c>
      <c r="F4" s="14">
        <v>1712.0872382499999</v>
      </c>
      <c r="G4" s="14">
        <v>7847.5408115395367</v>
      </c>
      <c r="H4" s="14">
        <v>9553.9634495782884</v>
      </c>
      <c r="I4" s="14">
        <v>10498.506953003534</v>
      </c>
      <c r="J4" s="14">
        <v>11706.178280467353</v>
      </c>
      <c r="K4" s="14">
        <v>13650.762134254288</v>
      </c>
    </row>
    <row r="5" spans="2:11" x14ac:dyDescent="0.3">
      <c r="B5" s="19" t="s">
        <v>25</v>
      </c>
      <c r="F5" s="14">
        <v>0</v>
      </c>
      <c r="G5" s="14">
        <v>9.9529999999999994</v>
      </c>
      <c r="H5" s="14">
        <v>165.68299999999999</v>
      </c>
      <c r="I5" s="14">
        <v>184.928</v>
      </c>
      <c r="J5" s="14">
        <v>212.667</v>
      </c>
      <c r="K5" s="14">
        <v>259.45400000000001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Styker-AGMP-2021</vt:lpstr>
      <vt:lpstr>Sheet2</vt:lpstr>
      <vt:lpstr>'Styker-AGMP-2021'!Print_Area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cp:lastPrinted>2021-02-27T17:32:56Z</cp:lastPrinted>
  <dcterms:created xsi:type="dcterms:W3CDTF">2021-02-27T17:30:39Z</dcterms:created>
  <dcterms:modified xsi:type="dcterms:W3CDTF">2021-02-28T11:43:34Z</dcterms:modified>
</cp:coreProperties>
</file>