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GMP\"/>
    </mc:Choice>
  </mc:AlternateContent>
  <bookViews>
    <workbookView xWindow="0" yWindow="0" windowWidth="12285" windowHeight="5640" activeTab="1"/>
  </bookViews>
  <sheets>
    <sheet name="Cost-of-capital" sheetId="3" r:id="rId1"/>
    <sheet name="Valuation-trial-YEP-2021" sheetId="2" r:id="rId2"/>
  </sheets>
  <definedNames>
    <definedName name="capex_growth" localSheetId="1">'Valuation-trial-YEP-2021'!$E$13</definedName>
    <definedName name="capex_growth">#REF!</definedName>
    <definedName name="cogs" localSheetId="1">'Valuation-trial-YEP-2021'!$E$6:$I$6</definedName>
    <definedName name="cogs">#REF!</definedName>
    <definedName name="nwc" localSheetId="1">'Valuation-trial-YEP-2021'!$D$8:$I$8</definedName>
    <definedName name="nwc">#REF!</definedName>
    <definedName name="p_growth" localSheetId="1">'Valuation-trial-YEP-2021'!$E$12</definedName>
    <definedName name="p_growth">#REF!</definedName>
    <definedName name="_xlnm.Print_Area" localSheetId="0">'Cost-of-capital'!$B$1:$G$19</definedName>
    <definedName name="sales_growth" localSheetId="1">'Valuation-trial-YEP-2021'!$E$5:$I$5</definedName>
    <definedName name="sales_growth">#REF!</definedName>
    <definedName name="sga" localSheetId="1">'Valuation-trial-YEP-2021'!$E$7:$I$7</definedName>
    <definedName name="sga">#REF!</definedName>
    <definedName name="tax" localSheetId="1">'Valuation-trial-YEP-2021'!$E$10</definedName>
    <definedName name="tax">#REF!</definedName>
    <definedName name="term_g" localSheetId="1">#REF!</definedName>
    <definedName name="term_g">#REF!</definedName>
    <definedName name="wacc" localSheetId="1">'Valuation-trial-YEP-2021'!$E$11</definedName>
    <definedName name="wacc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3" l="1"/>
  <c r="E19" i="3"/>
  <c r="E18" i="3"/>
  <c r="E14" i="3"/>
  <c r="E10" i="3"/>
  <c r="E9" i="3"/>
  <c r="E8" i="3"/>
  <c r="E5" i="3"/>
  <c r="E4" i="3"/>
  <c r="E3" i="3"/>
  <c r="D6" i="3"/>
  <c r="E17" i="2"/>
  <c r="F16" i="2"/>
  <c r="G16" i="2" s="1"/>
  <c r="H16" i="2" s="1"/>
  <c r="I16" i="2" s="1"/>
  <c r="F4" i="2"/>
  <c r="G4" i="2" s="1"/>
  <c r="H4" i="2" s="1"/>
  <c r="I4" i="2" s="1"/>
  <c r="E18" i="2" l="1"/>
  <c r="F17" i="2"/>
  <c r="E26" i="2"/>
  <c r="E19" i="2"/>
  <c r="E21" i="2" l="1"/>
  <c r="E22" i="2" s="1"/>
  <c r="E29" i="2" s="1"/>
  <c r="F19" i="2"/>
  <c r="F26" i="2"/>
  <c r="G17" i="2"/>
  <c r="F18" i="2"/>
  <c r="F21" i="2" l="1"/>
  <c r="F22" i="2" s="1"/>
  <c r="F29" i="2" s="1"/>
  <c r="G18" i="2"/>
  <c r="G19" i="2"/>
  <c r="G26" i="2"/>
  <c r="H17" i="2"/>
  <c r="G21" i="2" l="1"/>
  <c r="G22" i="2" s="1"/>
  <c r="G29" i="2" s="1"/>
  <c r="H26" i="2"/>
  <c r="H18" i="2"/>
  <c r="H19" i="2"/>
  <c r="I17" i="2"/>
  <c r="H21" i="2" l="1"/>
  <c r="H22" i="2" s="1"/>
  <c r="H29" i="2" s="1"/>
  <c r="I26" i="2"/>
  <c r="I18" i="2"/>
  <c r="I19" i="2"/>
  <c r="I21" i="2" l="1"/>
  <c r="I22" i="2" s="1"/>
  <c r="I29" i="2" s="1"/>
  <c r="D33" i="2" s="1"/>
  <c r="D32" i="2" l="1"/>
  <c r="D34" i="2" s="1"/>
  <c r="D36" i="2" s="1"/>
  <c r="D39" i="2" s="1"/>
</calcChain>
</file>

<file path=xl/sharedStrings.xml><?xml version="1.0" encoding="utf-8"?>
<sst xmlns="http://schemas.openxmlformats.org/spreadsheetml/2006/main" count="60" uniqueCount="58">
  <si>
    <t>Sales growth</t>
  </si>
  <si>
    <t>COSG</t>
  </si>
  <si>
    <t>SGA</t>
  </si>
  <si>
    <t>Tax</t>
  </si>
  <si>
    <t>Sales</t>
  </si>
  <si>
    <t>COGS</t>
  </si>
  <si>
    <t>PBIT</t>
  </si>
  <si>
    <t>PBIT (1-Tax)</t>
  </si>
  <si>
    <t>FCF</t>
  </si>
  <si>
    <t>PV of FCF</t>
  </si>
  <si>
    <t>PV growing perpetuity</t>
  </si>
  <si>
    <t>Total firm value</t>
  </si>
  <si>
    <t xml:space="preserve">Less: debt </t>
  </si>
  <si>
    <t>Equity value</t>
  </si>
  <si>
    <t>Valuation of Robertson Tool Company for acquisition by Monmouth Inc.</t>
  </si>
  <si>
    <t xml:space="preserve">Current </t>
  </si>
  <si>
    <t>Investment in NWC</t>
  </si>
  <si>
    <t>Other assumptions these are assumptions based on case facts</t>
  </si>
  <si>
    <t>please enter your estimate of growth rate beyond 2007</t>
  </si>
  <si>
    <t xml:space="preserve">B. Forecast of Operating performance </t>
  </si>
  <si>
    <t xml:space="preserve">C. Forecast of future investments </t>
  </si>
  <si>
    <t>E. Estimation of firm and equity value</t>
  </si>
  <si>
    <t>Figure taken from Exhibit 2</t>
  </si>
  <si>
    <t>No. of shares (million)</t>
  </si>
  <si>
    <t>Figure taken from the case</t>
  </si>
  <si>
    <t>please enter your estimate growth in capex</t>
  </si>
  <si>
    <t>The given values are those for the current year. Change all the year-wise figures</t>
  </si>
  <si>
    <t xml:space="preserve">by entering your year-wise operating assumptions in percentages the following rows 5-8: </t>
  </si>
  <si>
    <t>NWC/Sales</t>
  </si>
  <si>
    <t>Capex (figures from exhibit 4)</t>
  </si>
  <si>
    <t>Depreciation (figures from Exhibit 4)</t>
  </si>
  <si>
    <t>Growth of sales beyond 2007</t>
  </si>
  <si>
    <t xml:space="preserve">9% computed based </t>
  </si>
  <si>
    <t>on data, use the same (will explain)</t>
  </si>
  <si>
    <t xml:space="preserve">A. Assumptions future operating performance </t>
  </si>
  <si>
    <t>D. Forecast of FCF</t>
  </si>
  <si>
    <t>Discount rate</t>
  </si>
  <si>
    <t>Instructions/logic of the assumptions</t>
  </si>
  <si>
    <t xml:space="preserve">Per share value of Robertson </t>
  </si>
  <si>
    <t xml:space="preserve">Acutant </t>
  </si>
  <si>
    <t>Snap on</t>
  </si>
  <si>
    <t>Stanely</t>
  </si>
  <si>
    <t>beta asset</t>
  </si>
  <si>
    <t>MV</t>
  </si>
  <si>
    <t>% MV</t>
  </si>
  <si>
    <t>Wtd. Average beta asset</t>
  </si>
  <si>
    <t>D/V</t>
  </si>
  <si>
    <t>Median D/V ratio</t>
  </si>
  <si>
    <t>Beta equity</t>
  </si>
  <si>
    <t>rF</t>
  </si>
  <si>
    <t>MRP</t>
  </si>
  <si>
    <t>rE</t>
  </si>
  <si>
    <t>rD</t>
  </si>
  <si>
    <t>corresponds to AA</t>
  </si>
  <si>
    <t>WACC</t>
  </si>
  <si>
    <t xml:space="preserve">Rounded to </t>
  </si>
  <si>
    <t xml:space="preserve">Cost of capital estimation 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</si>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</sst>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00B05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sz val="8"/>
      <color theme="1"/>
      <name val="Arial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4" borderId="0" xfId="0" applyFont="1" applyFill="1" applyBorder="1"/>
    <xf numFmtId="9" fontId="2" fillId="4" borderId="0" xfId="0" applyNumberFormat="1" applyFont="1" applyFill="1" applyBorder="1"/>
    <xf numFmtId="0" fontId="0" fillId="4" borderId="0" xfId="0" applyFill="1" applyBorder="1"/>
    <xf numFmtId="0" fontId="4" fillId="3" borderId="1" xfId="0" applyFont="1" applyFill="1" applyBorder="1"/>
    <xf numFmtId="0" fontId="0" fillId="4" borderId="0" xfId="0" applyFill="1"/>
    <xf numFmtId="0" fontId="2" fillId="4" borderId="0" xfId="0" applyFont="1" applyFill="1"/>
    <xf numFmtId="0" fontId="4" fillId="4" borderId="0" xfId="0" applyFont="1" applyFill="1"/>
    <xf numFmtId="0" fontId="0" fillId="4" borderId="3" xfId="0" applyFill="1" applyBorder="1"/>
    <xf numFmtId="0" fontId="1" fillId="4" borderId="0" xfId="0" applyFont="1" applyFill="1"/>
    <xf numFmtId="9" fontId="2" fillId="4" borderId="0" xfId="0" applyNumberFormat="1" applyFont="1" applyFill="1"/>
    <xf numFmtId="0" fontId="0" fillId="4" borderId="0" xfId="0" applyFont="1" applyFill="1"/>
    <xf numFmtId="164" fontId="0" fillId="4" borderId="0" xfId="0" applyNumberFormat="1" applyFill="1"/>
    <xf numFmtId="0" fontId="2" fillId="4" borderId="0" xfId="0" applyFont="1" applyFill="1" applyBorder="1"/>
    <xf numFmtId="164" fontId="0" fillId="4" borderId="0" xfId="0" applyNumberFormat="1" applyFill="1" applyBorder="1"/>
    <xf numFmtId="4" fontId="0" fillId="4" borderId="0" xfId="0" applyNumberFormat="1" applyFill="1"/>
    <xf numFmtId="4" fontId="2" fillId="4" borderId="0" xfId="0" applyNumberFormat="1" applyFont="1" applyFill="1"/>
    <xf numFmtId="0" fontId="0" fillId="4" borderId="5" xfId="0" applyFill="1" applyBorder="1"/>
    <xf numFmtId="0" fontId="4" fillId="4" borderId="0" xfId="0" applyFont="1" applyFill="1" applyBorder="1"/>
    <xf numFmtId="164" fontId="0" fillId="4" borderId="7" xfId="0" applyNumberFormat="1" applyFill="1" applyBorder="1"/>
    <xf numFmtId="0" fontId="0" fillId="4" borderId="8" xfId="0" applyFill="1" applyBorder="1"/>
    <xf numFmtId="0" fontId="1" fillId="4" borderId="0" xfId="0" applyFont="1" applyFill="1" applyBorder="1"/>
    <xf numFmtId="0" fontId="1" fillId="4" borderId="3" xfId="0" applyFont="1" applyFill="1" applyBorder="1"/>
    <xf numFmtId="9" fontId="2" fillId="4" borderId="3" xfId="0" applyNumberFormat="1" applyFont="1" applyFill="1" applyBorder="1"/>
    <xf numFmtId="164" fontId="0" fillId="4" borderId="3" xfId="0" applyNumberFormat="1" applyFill="1" applyBorder="1"/>
    <xf numFmtId="0" fontId="4" fillId="3" borderId="6" xfId="0" applyFont="1" applyFill="1" applyBorder="1"/>
    <xf numFmtId="164" fontId="3" fillId="4" borderId="0" xfId="0" applyNumberFormat="1" applyFont="1" applyFill="1" applyBorder="1"/>
    <xf numFmtId="0" fontId="4" fillId="5" borderId="9" xfId="0" applyFont="1" applyFill="1" applyBorder="1"/>
    <xf numFmtId="0" fontId="6" fillId="4" borderId="0" xfId="0" applyFont="1" applyFill="1" applyBorder="1"/>
    <xf numFmtId="0" fontId="0" fillId="4" borderId="10" xfId="0" applyFill="1" applyBorder="1"/>
    <xf numFmtId="0" fontId="0" fillId="4" borderId="7" xfId="0" applyFill="1" applyBorder="1"/>
    <xf numFmtId="9" fontId="0" fillId="4" borderId="0" xfId="0" applyNumberFormat="1" applyFill="1" applyBorder="1"/>
    <xf numFmtId="0" fontId="0" fillId="4" borderId="12" xfId="0" applyFill="1" applyBorder="1"/>
    <xf numFmtId="0" fontId="0" fillId="4" borderId="11" xfId="0" applyFill="1" applyBorder="1"/>
    <xf numFmtId="0" fontId="7" fillId="2" borderId="5" xfId="0" applyFont="1" applyFill="1" applyBorder="1"/>
    <xf numFmtId="0" fontId="7" fillId="2" borderId="3" xfId="0" applyFont="1" applyFill="1" applyBorder="1"/>
    <xf numFmtId="0" fontId="7" fillId="2" borderId="8" xfId="0" applyFont="1" applyFill="1" applyBorder="1"/>
    <xf numFmtId="0" fontId="8" fillId="2" borderId="12" xfId="0" applyFont="1" applyFill="1" applyBorder="1"/>
    <xf numFmtId="0" fontId="7" fillId="2" borderId="7" xfId="0" applyFont="1" applyFill="1" applyBorder="1"/>
    <xf numFmtId="0" fontId="7" fillId="2" borderId="11" xfId="0" applyFont="1" applyFill="1" applyBorder="1"/>
    <xf numFmtId="0" fontId="7" fillId="4" borderId="0" xfId="0" applyFont="1" applyFill="1"/>
    <xf numFmtId="0" fontId="9" fillId="2" borderId="5" xfId="0" applyFont="1" applyFill="1" applyBorder="1"/>
    <xf numFmtId="0" fontId="9" fillId="2" borderId="3" xfId="0" applyFont="1" applyFill="1" applyBorder="1"/>
    <xf numFmtId="0" fontId="9" fillId="2" borderId="12" xfId="0" applyFont="1" applyFill="1" applyBorder="1"/>
    <xf numFmtId="0" fontId="9" fillId="2" borderId="7" xfId="0" applyFont="1" applyFill="1" applyBorder="1"/>
    <xf numFmtId="0" fontId="8" fillId="2" borderId="4" xfId="0" applyFont="1" applyFill="1" applyBorder="1"/>
    <xf numFmtId="0" fontId="7" fillId="2" borderId="6" xfId="0" applyFont="1" applyFill="1" applyBorder="1"/>
    <xf numFmtId="0" fontId="7" fillId="2" borderId="1" xfId="0" applyFont="1" applyFill="1" applyBorder="1"/>
    <xf numFmtId="0" fontId="10" fillId="2" borderId="1" xfId="0" applyFont="1" applyFill="1" applyBorder="1"/>
    <xf numFmtId="0" fontId="2" fillId="4" borderId="0" xfId="0" applyFont="1" applyFill="1" applyBorder="1" applyAlignment="1">
      <alignment horizontal="right"/>
    </xf>
    <xf numFmtId="0" fontId="5" fillId="4" borderId="0" xfId="0" applyFont="1" applyFill="1" applyBorder="1"/>
    <xf numFmtId="4" fontId="0" fillId="4" borderId="0" xfId="0" applyNumberFormat="1" applyFill="1" applyBorder="1"/>
    <xf numFmtId="0" fontId="4" fillId="4" borderId="7" xfId="0" applyFont="1" applyFill="1" applyBorder="1"/>
    <xf numFmtId="0" fontId="5" fillId="4" borderId="7" xfId="0" applyFont="1" applyFill="1" applyBorder="1"/>
    <xf numFmtId="164" fontId="4" fillId="4" borderId="7" xfId="0" applyNumberFormat="1" applyFont="1" applyFill="1" applyBorder="1"/>
    <xf numFmtId="164" fontId="4" fillId="4" borderId="0" xfId="0" applyNumberFormat="1" applyFont="1" applyFill="1" applyBorder="1"/>
    <xf numFmtId="9" fontId="2" fillId="4" borderId="10" xfId="0" applyNumberFormat="1" applyFont="1" applyFill="1" applyBorder="1" applyAlignment="1">
      <alignment horizontal="right"/>
    </xf>
    <xf numFmtId="0" fontId="11" fillId="6" borderId="1" xfId="0" applyFont="1" applyFill="1" applyBorder="1"/>
    <xf numFmtId="0" fontId="12" fillId="6" borderId="1" xfId="0" applyFont="1" applyFill="1" applyBorder="1"/>
    <xf numFmtId="4" fontId="11" fillId="6" borderId="1" xfId="0" applyNumberFormat="1" applyFont="1" applyFill="1" applyBorder="1"/>
    <xf numFmtId="165" fontId="0" fillId="4" borderId="2" xfId="0" applyNumberFormat="1" applyFill="1" applyBorder="1"/>
    <xf numFmtId="164" fontId="0" fillId="4" borderId="2" xfId="0" applyNumberFormat="1" applyFill="1" applyBorder="1"/>
    <xf numFmtId="9" fontId="0" fillId="7" borderId="5" xfId="0" applyNumberFormat="1" applyFill="1" applyBorder="1"/>
    <xf numFmtId="9" fontId="0" fillId="7" borderId="3" xfId="0" applyNumberFormat="1" applyFill="1" applyBorder="1"/>
    <xf numFmtId="9" fontId="0" fillId="7" borderId="8" xfId="0" applyNumberFormat="1" applyFill="1" applyBorder="1"/>
    <xf numFmtId="9" fontId="0" fillId="7" borderId="13" xfId="0" applyNumberFormat="1" applyFill="1" applyBorder="1"/>
    <xf numFmtId="9" fontId="0" fillId="7" borderId="0" xfId="0" applyNumberFormat="1" applyFill="1" applyBorder="1"/>
    <xf numFmtId="9" fontId="0" fillId="7" borderId="10" xfId="0" applyNumberFormat="1" applyFill="1" applyBorder="1"/>
    <xf numFmtId="9" fontId="0" fillId="4" borderId="7" xfId="0" applyNumberFormat="1" applyFont="1" applyFill="1" applyBorder="1"/>
    <xf numFmtId="9" fontId="0" fillId="4" borderId="14" xfId="0" applyNumberFormat="1" applyFont="1" applyFill="1" applyBorder="1"/>
    <xf numFmtId="9" fontId="0" fillId="0" borderId="2" xfId="0" applyNumberFormat="1" applyFont="1" applyFill="1" applyBorder="1"/>
    <xf numFmtId="164" fontId="0" fillId="4" borderId="13" xfId="0" applyNumberFormat="1" applyFill="1" applyBorder="1"/>
    <xf numFmtId="0" fontId="12" fillId="6" borderId="4" xfId="0" applyFont="1" applyFill="1" applyBorder="1"/>
    <xf numFmtId="4" fontId="0" fillId="4" borderId="13" xfId="0" applyNumberFormat="1" applyFill="1" applyBorder="1"/>
    <xf numFmtId="164" fontId="4" fillId="4" borderId="12" xfId="0" applyNumberFormat="1" applyFont="1" applyFill="1" applyBorder="1"/>
    <xf numFmtId="164" fontId="4" fillId="4" borderId="13" xfId="0" applyNumberFormat="1" applyFont="1" applyFill="1" applyBorder="1"/>
    <xf numFmtId="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0" xfId="0" applyBorder="1"/>
    <xf numFmtId="9" fontId="0" fillId="0" borderId="0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zoomScale="175" zoomScaleNormal="175" workbookViewId="0">
      <selection activeCell="H7" sqref="H7"/>
    </sheetView>
  </sheetViews>
  <sheetFormatPr defaultRowHeight="12.75" x14ac:dyDescent="0.2"/>
  <cols>
    <col min="5" max="5" width="8.5703125" customWidth="1"/>
  </cols>
  <sheetData>
    <row r="1" spans="2:8" x14ac:dyDescent="0.2">
      <c r="B1" s="79" t="s">
        <v>56</v>
      </c>
      <c r="C1" s="79"/>
      <c r="D1" s="79"/>
      <c r="E1" s="79"/>
      <c r="F1" s="79"/>
    </row>
    <row r="2" spans="2:8" ht="13.5" thickBot="1" x14ac:dyDescent="0.25">
      <c r="B2" s="82"/>
      <c r="C2" s="82" t="s">
        <v>42</v>
      </c>
      <c r="D2" s="82" t="s">
        <v>43</v>
      </c>
      <c r="E2" s="82" t="s">
        <v>44</v>
      </c>
      <c r="F2" s="82" t="s">
        <v>46</v>
      </c>
      <c r="H2" t="s">
        <v>57</v>
      </c>
    </row>
    <row r="3" spans="2:8" x14ac:dyDescent="0.2">
      <c r="B3" s="80" t="s">
        <v>39</v>
      </c>
      <c r="C3" s="80">
        <v>0.71</v>
      </c>
      <c r="D3" s="80">
        <v>712</v>
      </c>
      <c r="E3" s="80">
        <f>D3/$D$6</f>
        <v>0.12743869697512081</v>
      </c>
      <c r="F3" s="81">
        <v>0.28999999999999998</v>
      </c>
      <c r="H3" s="77">
        <v>0.12</v>
      </c>
    </row>
    <row r="4" spans="2:8" x14ac:dyDescent="0.2">
      <c r="B4" s="80" t="s">
        <v>40</v>
      </c>
      <c r="C4" s="80">
        <v>0.85</v>
      </c>
      <c r="D4" s="80">
        <v>1861</v>
      </c>
      <c r="E4" s="80">
        <f t="shared" ref="E4:E5" si="0">D4/$D$6</f>
        <v>0.33309468408806159</v>
      </c>
      <c r="F4" s="81">
        <v>0.19</v>
      </c>
      <c r="H4" s="77">
        <v>0.18</v>
      </c>
    </row>
    <row r="5" spans="2:8" x14ac:dyDescent="0.2">
      <c r="B5" s="80" t="s">
        <v>41</v>
      </c>
      <c r="C5" s="80">
        <v>0.73</v>
      </c>
      <c r="D5" s="80">
        <v>3014</v>
      </c>
      <c r="E5" s="80">
        <f t="shared" si="0"/>
        <v>0.53946661893681758</v>
      </c>
      <c r="F5" s="81">
        <v>0.24</v>
      </c>
      <c r="H5" s="77">
        <v>0.16</v>
      </c>
    </row>
    <row r="6" spans="2:8" x14ac:dyDescent="0.2">
      <c r="B6" s="79"/>
      <c r="C6" s="79"/>
      <c r="D6" s="79">
        <f>SUM(D3:D5)</f>
        <v>5587</v>
      </c>
      <c r="E6" s="79"/>
      <c r="F6" s="79"/>
      <c r="H6" s="77">
        <f>MEDIAN(H3:H5)</f>
        <v>0.16</v>
      </c>
    </row>
    <row r="7" spans="2:8" x14ac:dyDescent="0.2">
      <c r="H7" s="78"/>
    </row>
    <row r="8" spans="2:8" x14ac:dyDescent="0.2">
      <c r="B8" t="s">
        <v>45</v>
      </c>
      <c r="E8" s="76">
        <f>SUMPRODUCT(E3:E5,C3:C5)</f>
        <v>0.76742258815106501</v>
      </c>
    </row>
    <row r="9" spans="2:8" x14ac:dyDescent="0.2">
      <c r="B9" t="s">
        <v>47</v>
      </c>
      <c r="E9" s="77">
        <f>MEDIAN(F3:F5)</f>
        <v>0.24</v>
      </c>
    </row>
    <row r="10" spans="2:8" x14ac:dyDescent="0.2">
      <c r="B10" t="s">
        <v>48</v>
      </c>
      <c r="E10" s="76">
        <f>E8/(1-E9)</f>
        <v>1.0097665633566644</v>
      </c>
    </row>
    <row r="12" spans="2:8" x14ac:dyDescent="0.2">
      <c r="B12" t="s">
        <v>49</v>
      </c>
      <c r="E12" s="78">
        <v>4.1000000000000002E-2</v>
      </c>
    </row>
    <row r="13" spans="2:8" x14ac:dyDescent="0.2">
      <c r="B13" t="s">
        <v>50</v>
      </c>
      <c r="E13" s="77">
        <v>0.06</v>
      </c>
    </row>
    <row r="14" spans="2:8" x14ac:dyDescent="0.2">
      <c r="B14" t="s">
        <v>51</v>
      </c>
      <c r="E14" s="76">
        <f>E12+E13*E10</f>
        <v>0.10158599380139986</v>
      </c>
    </row>
    <row r="16" spans="2:8" x14ac:dyDescent="0.2">
      <c r="B16" t="s">
        <v>52</v>
      </c>
      <c r="E16" s="78">
        <v>4.5199999999999997E-2</v>
      </c>
      <c r="F16" t="s">
        <v>53</v>
      </c>
    </row>
    <row r="18" spans="2:5" x14ac:dyDescent="0.2">
      <c r="B18" t="s">
        <v>54</v>
      </c>
      <c r="E18" s="78">
        <f>E14*(1-E9)+E16*(1-40%)*E9</f>
        <v>8.3714155289063896E-2</v>
      </c>
    </row>
    <row r="19" spans="2:5" x14ac:dyDescent="0.2">
      <c r="B19" t="s">
        <v>55</v>
      </c>
      <c r="E19" s="78">
        <f>ROUNDUP(E18,2)</f>
        <v>0.09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8"/>
  <sheetViews>
    <sheetView tabSelected="1" zoomScale="115" zoomScaleNormal="115" workbookViewId="0">
      <selection activeCell="C46" sqref="C46"/>
    </sheetView>
  </sheetViews>
  <sheetFormatPr defaultColWidth="8.85546875" defaultRowHeight="12.75" x14ac:dyDescent="0.2"/>
  <cols>
    <col min="1" max="1" width="8.85546875" style="5"/>
    <col min="2" max="2" width="20.5703125" style="5" bestFit="1" customWidth="1"/>
    <col min="3" max="3" width="20.5703125" style="5" customWidth="1"/>
    <col min="4" max="4" width="11" style="6" customWidth="1"/>
    <col min="5" max="16384" width="8.85546875" style="5"/>
  </cols>
  <sheetData>
    <row r="1" spans="2:21" x14ac:dyDescent="0.2">
      <c r="B1" s="7" t="s">
        <v>14</v>
      </c>
      <c r="C1" s="7"/>
    </row>
    <row r="3" spans="2:21" x14ac:dyDescent="0.2">
      <c r="B3" s="57" t="s">
        <v>34</v>
      </c>
      <c r="C3" s="57"/>
      <c r="D3" s="58"/>
      <c r="E3" s="58"/>
      <c r="F3" s="58"/>
      <c r="G3" s="58"/>
      <c r="H3" s="58"/>
      <c r="I3" s="58"/>
      <c r="J3" s="3"/>
      <c r="M3" s="57" t="s">
        <v>37</v>
      </c>
      <c r="N3" s="57"/>
      <c r="O3" s="57"/>
      <c r="P3" s="57"/>
      <c r="Q3" s="57"/>
      <c r="R3" s="57"/>
      <c r="S3" s="57"/>
      <c r="T3" s="57"/>
      <c r="U3" s="57"/>
    </row>
    <row r="4" spans="2:21" x14ac:dyDescent="0.2">
      <c r="B4" s="1"/>
      <c r="C4" s="1"/>
      <c r="D4" s="56" t="s">
        <v>15</v>
      </c>
      <c r="E4" s="3">
        <v>2003</v>
      </c>
      <c r="F4" s="3">
        <f t="shared" ref="F4:I4" si="0">E4+1</f>
        <v>2004</v>
      </c>
      <c r="G4" s="3">
        <f t="shared" si="0"/>
        <v>2005</v>
      </c>
      <c r="H4" s="3">
        <f t="shared" si="0"/>
        <v>2006</v>
      </c>
      <c r="I4" s="3">
        <f t="shared" si="0"/>
        <v>2007</v>
      </c>
    </row>
    <row r="5" spans="2:21" x14ac:dyDescent="0.2">
      <c r="B5" s="22" t="s">
        <v>0</v>
      </c>
      <c r="C5" s="22"/>
      <c r="D5" s="23">
        <v>0.01</v>
      </c>
      <c r="E5" s="62">
        <v>0.01</v>
      </c>
      <c r="F5" s="63">
        <v>0.02</v>
      </c>
      <c r="G5" s="63">
        <v>0.03</v>
      </c>
      <c r="H5" s="63">
        <v>0.04</v>
      </c>
      <c r="I5" s="64">
        <v>0.06</v>
      </c>
      <c r="J5" s="8"/>
      <c r="K5" s="8"/>
      <c r="L5" s="8"/>
      <c r="M5" s="34" t="s">
        <v>26</v>
      </c>
      <c r="N5" s="35"/>
      <c r="O5" s="35"/>
      <c r="P5" s="35"/>
      <c r="Q5" s="35"/>
      <c r="R5" s="35"/>
      <c r="S5" s="35"/>
      <c r="T5" s="35"/>
      <c r="U5" s="36"/>
    </row>
    <row r="6" spans="2:21" x14ac:dyDescent="0.2">
      <c r="B6" s="21" t="s">
        <v>1</v>
      </c>
      <c r="C6" s="21"/>
      <c r="D6" s="2">
        <v>0.69</v>
      </c>
      <c r="E6" s="65">
        <v>0.69</v>
      </c>
      <c r="F6" s="66">
        <v>0.68</v>
      </c>
      <c r="G6" s="66">
        <v>0.67</v>
      </c>
      <c r="H6" s="66">
        <v>0.65</v>
      </c>
      <c r="I6" s="66">
        <v>0.65</v>
      </c>
      <c r="M6" s="37" t="s">
        <v>27</v>
      </c>
      <c r="N6" s="38"/>
      <c r="O6" s="38"/>
      <c r="P6" s="38"/>
      <c r="Q6" s="38"/>
      <c r="R6" s="38"/>
      <c r="S6" s="38"/>
      <c r="T6" s="38"/>
      <c r="U6" s="39"/>
    </row>
    <row r="7" spans="2:21" x14ac:dyDescent="0.2">
      <c r="B7" s="21" t="s">
        <v>2</v>
      </c>
      <c r="C7" s="21"/>
      <c r="D7" s="2">
        <v>0.22</v>
      </c>
      <c r="E7" s="65">
        <v>0.22</v>
      </c>
      <c r="F7" s="66">
        <v>0.22</v>
      </c>
      <c r="G7" s="66">
        <v>0.21</v>
      </c>
      <c r="H7" s="66">
        <v>0.2</v>
      </c>
      <c r="I7" s="67">
        <v>0.19</v>
      </c>
      <c r="M7" s="40"/>
      <c r="N7" s="40"/>
      <c r="O7" s="40"/>
      <c r="P7" s="40"/>
      <c r="Q7" s="40"/>
      <c r="R7" s="40"/>
      <c r="S7" s="40"/>
      <c r="T7" s="40"/>
      <c r="U7" s="40"/>
    </row>
    <row r="8" spans="2:21" x14ac:dyDescent="0.2">
      <c r="B8" s="1" t="s">
        <v>28</v>
      </c>
      <c r="C8" s="21"/>
      <c r="D8" s="2">
        <v>0.43</v>
      </c>
      <c r="E8" s="65">
        <v>0.4</v>
      </c>
      <c r="F8" s="66">
        <v>0.27</v>
      </c>
      <c r="G8" s="66">
        <v>0.27</v>
      </c>
      <c r="H8" s="66">
        <v>0.27</v>
      </c>
      <c r="I8" s="66">
        <v>0.27</v>
      </c>
      <c r="M8" s="40"/>
      <c r="N8" s="40"/>
      <c r="O8" s="40"/>
      <c r="P8" s="40"/>
      <c r="Q8" s="40"/>
      <c r="R8" s="40"/>
      <c r="S8" s="40"/>
      <c r="T8" s="40"/>
      <c r="U8" s="40"/>
    </row>
    <row r="9" spans="2:21" x14ac:dyDescent="0.2">
      <c r="B9" s="1" t="s">
        <v>17</v>
      </c>
      <c r="C9" s="1"/>
      <c r="D9" s="2"/>
      <c r="E9" s="3"/>
      <c r="F9" s="3"/>
      <c r="G9" s="3"/>
      <c r="H9" s="3"/>
      <c r="I9" s="3"/>
      <c r="K9" s="17"/>
      <c r="L9" s="20"/>
      <c r="M9" s="41" t="s">
        <v>32</v>
      </c>
      <c r="N9" s="42"/>
      <c r="O9" s="35"/>
      <c r="P9" s="36"/>
      <c r="Q9" s="40"/>
      <c r="R9" s="40"/>
      <c r="S9" s="40"/>
      <c r="T9" s="40"/>
      <c r="U9" s="40"/>
    </row>
    <row r="10" spans="2:21" x14ac:dyDescent="0.2">
      <c r="B10" s="21" t="s">
        <v>3</v>
      </c>
      <c r="C10" s="21"/>
      <c r="D10" s="13"/>
      <c r="E10" s="68">
        <v>0.4</v>
      </c>
      <c r="F10" s="30"/>
      <c r="G10" s="30"/>
      <c r="H10" s="30"/>
      <c r="I10" s="30"/>
      <c r="J10" s="33"/>
      <c r="M10" s="43" t="s">
        <v>33</v>
      </c>
      <c r="N10" s="44"/>
      <c r="O10" s="38"/>
      <c r="P10" s="39"/>
      <c r="Q10" s="40"/>
      <c r="R10" s="40"/>
      <c r="S10" s="40"/>
      <c r="T10" s="40"/>
      <c r="U10" s="40"/>
    </row>
    <row r="11" spans="2:21" x14ac:dyDescent="0.2">
      <c r="B11" s="11" t="s">
        <v>36</v>
      </c>
      <c r="C11" s="9"/>
      <c r="E11" s="69">
        <v>0.09</v>
      </c>
      <c r="F11" s="32"/>
      <c r="G11" s="30"/>
      <c r="H11" s="30"/>
      <c r="I11" s="30"/>
      <c r="J11" s="30"/>
      <c r="K11" s="30"/>
      <c r="M11" s="40"/>
      <c r="N11" s="40"/>
      <c r="O11" s="40"/>
      <c r="P11" s="40"/>
      <c r="Q11" s="40"/>
      <c r="R11" s="40"/>
      <c r="S11" s="40"/>
      <c r="T11" s="40"/>
      <c r="U11" s="40"/>
    </row>
    <row r="12" spans="2:21" x14ac:dyDescent="0.2">
      <c r="B12" s="11" t="s">
        <v>31</v>
      </c>
      <c r="C12" s="11"/>
      <c r="E12" s="70">
        <v>0.02</v>
      </c>
      <c r="F12" s="8"/>
      <c r="G12" s="8"/>
      <c r="H12" s="8"/>
      <c r="I12" s="8"/>
      <c r="J12" s="8"/>
      <c r="K12" s="8"/>
      <c r="L12" s="8"/>
      <c r="M12" s="45" t="s">
        <v>18</v>
      </c>
      <c r="N12" s="46"/>
      <c r="O12" s="47"/>
      <c r="P12" s="48"/>
      <c r="Q12" s="47"/>
      <c r="R12" s="46"/>
      <c r="S12" s="40"/>
      <c r="T12" s="40"/>
      <c r="U12" s="40"/>
    </row>
    <row r="13" spans="2:21" x14ac:dyDescent="0.2">
      <c r="B13" s="21"/>
      <c r="C13" s="21"/>
      <c r="D13" s="13"/>
      <c r="E13" s="31"/>
      <c r="F13" s="8"/>
      <c r="G13" s="8"/>
      <c r="H13" s="8"/>
      <c r="I13" s="8"/>
      <c r="J13" s="8"/>
      <c r="K13" s="20"/>
      <c r="M13" s="40"/>
      <c r="N13" s="40"/>
      <c r="O13" s="40"/>
      <c r="P13" s="40"/>
      <c r="Q13" s="40"/>
      <c r="R13" s="40"/>
      <c r="S13" s="40"/>
      <c r="T13" s="40"/>
      <c r="U13" s="40"/>
    </row>
    <row r="14" spans="2:21" x14ac:dyDescent="0.2">
      <c r="B14" s="9"/>
      <c r="C14" s="9"/>
      <c r="E14" s="10"/>
      <c r="J14" s="3"/>
      <c r="K14" s="29"/>
      <c r="M14" s="40"/>
      <c r="N14" s="40"/>
      <c r="O14" s="40"/>
      <c r="P14" s="40"/>
      <c r="Q14" s="40"/>
      <c r="R14" s="40"/>
      <c r="S14" s="40"/>
      <c r="T14" s="40"/>
      <c r="U14" s="40"/>
    </row>
    <row r="15" spans="2:21" x14ac:dyDescent="0.2">
      <c r="B15" s="57" t="s">
        <v>19</v>
      </c>
      <c r="C15" s="57"/>
      <c r="D15" s="58"/>
      <c r="E15" s="58"/>
      <c r="F15" s="58"/>
      <c r="G15" s="58"/>
      <c r="H15" s="58"/>
      <c r="I15" s="58"/>
      <c r="J15" s="3"/>
      <c r="K15" s="29"/>
      <c r="M15" s="40"/>
      <c r="N15" s="40"/>
      <c r="O15" s="40"/>
      <c r="P15" s="40"/>
      <c r="Q15" s="40"/>
      <c r="R15" s="40"/>
      <c r="S15" s="40"/>
      <c r="T15" s="40"/>
      <c r="U15" s="40"/>
    </row>
    <row r="16" spans="2:21" x14ac:dyDescent="0.2">
      <c r="B16" s="21"/>
      <c r="C16" s="21"/>
      <c r="D16" s="49" t="s">
        <v>15</v>
      </c>
      <c r="E16" s="17">
        <v>2003</v>
      </c>
      <c r="F16" s="3">
        <f t="shared" ref="F16:I16" si="1">E16+1</f>
        <v>2004</v>
      </c>
      <c r="G16" s="3">
        <f t="shared" si="1"/>
        <v>2005</v>
      </c>
      <c r="H16" s="3">
        <f t="shared" si="1"/>
        <v>2006</v>
      </c>
      <c r="I16" s="3">
        <f t="shared" si="1"/>
        <v>2007</v>
      </c>
      <c r="J16" s="3"/>
      <c r="K16" s="29"/>
      <c r="M16" s="40"/>
      <c r="N16" s="40"/>
      <c r="O16" s="40"/>
      <c r="P16" s="40"/>
      <c r="Q16" s="40"/>
      <c r="R16" s="40"/>
      <c r="S16" s="40"/>
      <c r="T16" s="40"/>
      <c r="U16" s="40"/>
    </row>
    <row r="17" spans="2:21" x14ac:dyDescent="0.2">
      <c r="B17" s="21" t="s">
        <v>4</v>
      </c>
      <c r="C17" s="21"/>
      <c r="D17" s="13">
        <v>55.3</v>
      </c>
      <c r="E17" s="71">
        <f>D17*(1+E5)</f>
        <v>55.852999999999994</v>
      </c>
      <c r="F17" s="14">
        <f>E17*(1+F5)</f>
        <v>56.970059999999997</v>
      </c>
      <c r="G17" s="14">
        <f t="shared" ref="G17:I17" si="2">F17*(1+G5)</f>
        <v>58.679161799999996</v>
      </c>
      <c r="H17" s="14">
        <f t="shared" si="2"/>
        <v>61.026328272000001</v>
      </c>
      <c r="I17" s="14">
        <f t="shared" si="2"/>
        <v>64.687907968320005</v>
      </c>
      <c r="J17" s="3"/>
      <c r="K17" s="29"/>
      <c r="M17" s="40"/>
      <c r="N17" s="40"/>
      <c r="O17" s="40"/>
      <c r="P17" s="40"/>
      <c r="Q17" s="40"/>
      <c r="R17" s="40"/>
      <c r="S17" s="40"/>
      <c r="T17" s="40"/>
      <c r="U17" s="40"/>
    </row>
    <row r="18" spans="2:21" x14ac:dyDescent="0.2">
      <c r="B18" s="21" t="s">
        <v>5</v>
      </c>
      <c r="C18" s="21"/>
      <c r="D18" s="13"/>
      <c r="E18" s="71">
        <f>E17*E6</f>
        <v>38.538569999999993</v>
      </c>
      <c r="F18" s="14">
        <f>F17*F6</f>
        <v>38.739640800000004</v>
      </c>
      <c r="G18" s="14">
        <f>G17*G6</f>
        <v>39.315038405999999</v>
      </c>
      <c r="H18" s="14">
        <f t="shared" ref="H18:I18" si="3">H17*H6</f>
        <v>39.667113376800003</v>
      </c>
      <c r="I18" s="14">
        <f t="shared" si="3"/>
        <v>42.047140179408004</v>
      </c>
      <c r="J18" s="3"/>
      <c r="K18" s="29"/>
      <c r="L18" s="32"/>
      <c r="M18" s="40"/>
      <c r="N18" s="40"/>
      <c r="O18" s="40"/>
      <c r="P18" s="40"/>
      <c r="Q18" s="40"/>
      <c r="R18" s="40"/>
      <c r="S18" s="40"/>
      <c r="T18" s="40"/>
      <c r="U18" s="40"/>
    </row>
    <row r="19" spans="2:21" x14ac:dyDescent="0.2">
      <c r="B19" s="21" t="s">
        <v>2</v>
      </c>
      <c r="C19" s="21"/>
      <c r="D19" s="13"/>
      <c r="E19" s="71">
        <f>E17*E7</f>
        <v>12.287659999999999</v>
      </c>
      <c r="F19" s="14">
        <f t="shared" ref="F19:I19" si="4">F17*F7</f>
        <v>12.5334132</v>
      </c>
      <c r="G19" s="14">
        <f t="shared" si="4"/>
        <v>12.322623977999999</v>
      </c>
      <c r="H19" s="14">
        <f t="shared" si="4"/>
        <v>12.205265654400002</v>
      </c>
      <c r="I19" s="14">
        <f t="shared" si="4"/>
        <v>12.290702513980801</v>
      </c>
      <c r="M19" s="45" t="s">
        <v>25</v>
      </c>
      <c r="N19" s="46"/>
      <c r="O19" s="47"/>
      <c r="P19" s="47"/>
      <c r="Q19" s="47"/>
      <c r="R19" s="46"/>
      <c r="S19" s="40"/>
      <c r="T19" s="40"/>
      <c r="U19" s="40"/>
    </row>
    <row r="20" spans="2:21" x14ac:dyDescent="0.2">
      <c r="B20" s="1" t="s">
        <v>30</v>
      </c>
      <c r="C20" s="21"/>
      <c r="D20" s="13">
        <v>2.1</v>
      </c>
      <c r="E20" s="71">
        <v>2.2999999999999998</v>
      </c>
      <c r="F20" s="14">
        <v>2.5</v>
      </c>
      <c r="G20" s="14">
        <v>2.7</v>
      </c>
      <c r="H20" s="14">
        <v>2.9</v>
      </c>
      <c r="I20" s="14">
        <v>2.9</v>
      </c>
    </row>
    <row r="21" spans="2:21" x14ac:dyDescent="0.2">
      <c r="B21" s="21" t="s">
        <v>6</v>
      </c>
      <c r="C21" s="21"/>
      <c r="D21" s="50"/>
      <c r="E21" s="71">
        <f>E17-SUM(E18:E20)</f>
        <v>2.7267700000000019</v>
      </c>
      <c r="F21" s="14">
        <f t="shared" ref="F21:I21" si="5">F17-SUM(F18:F20)</f>
        <v>3.1970059999999947</v>
      </c>
      <c r="G21" s="14">
        <f t="shared" si="5"/>
        <v>4.3414994159999978</v>
      </c>
      <c r="H21" s="14">
        <f t="shared" si="5"/>
        <v>6.2539492407999973</v>
      </c>
      <c r="I21" s="14">
        <f t="shared" si="5"/>
        <v>7.4500652749311982</v>
      </c>
    </row>
    <row r="22" spans="2:21" x14ac:dyDescent="0.2">
      <c r="B22" s="21" t="s">
        <v>7</v>
      </c>
      <c r="C22" s="21"/>
      <c r="D22" s="50"/>
      <c r="E22" s="71">
        <f>E21*(1-tax)</f>
        <v>1.636062000000001</v>
      </c>
      <c r="F22" s="14">
        <f>F21*(1-tax)</f>
        <v>1.9182035999999967</v>
      </c>
      <c r="G22" s="14">
        <f>G21*(1-tax)</f>
        <v>2.6048996495999988</v>
      </c>
      <c r="H22" s="14">
        <f>H21*(1-tax)</f>
        <v>3.7523695444799983</v>
      </c>
      <c r="I22" s="14">
        <f>I21*(1-tax)</f>
        <v>4.4700391649587186</v>
      </c>
    </row>
    <row r="23" spans="2:21" x14ac:dyDescent="0.2">
      <c r="B23" s="1"/>
      <c r="C23" s="1"/>
      <c r="D23" s="13"/>
      <c r="E23" s="71"/>
      <c r="F23" s="14"/>
      <c r="G23" s="14"/>
      <c r="H23" s="14"/>
      <c r="I23" s="14"/>
    </row>
    <row r="24" spans="2:21" x14ac:dyDescent="0.2">
      <c r="B24" s="57" t="s">
        <v>20</v>
      </c>
      <c r="C24" s="57"/>
      <c r="D24" s="58"/>
      <c r="E24" s="72"/>
      <c r="F24" s="58"/>
      <c r="G24" s="58"/>
      <c r="H24" s="58"/>
      <c r="I24" s="58"/>
      <c r="J24" s="3"/>
    </row>
    <row r="25" spans="2:21" x14ac:dyDescent="0.2">
      <c r="B25" s="1" t="s">
        <v>29</v>
      </c>
      <c r="C25" s="1"/>
      <c r="D25" s="13"/>
      <c r="E25" s="71">
        <v>4</v>
      </c>
      <c r="F25" s="14">
        <v>3.5</v>
      </c>
      <c r="G25" s="14">
        <v>3.6</v>
      </c>
      <c r="H25" s="14">
        <v>3.8</v>
      </c>
      <c r="I25" s="14">
        <v>2.9</v>
      </c>
    </row>
    <row r="26" spans="2:21" x14ac:dyDescent="0.2">
      <c r="B26" s="1" t="s">
        <v>16</v>
      </c>
      <c r="C26" s="1"/>
      <c r="D26" s="13"/>
      <c r="E26" s="73">
        <f>E8*E17-D17*D8</f>
        <v>-1.4377999999999993</v>
      </c>
      <c r="F26" s="51">
        <f>F8*F17-E17*E8</f>
        <v>-6.9592837999999997</v>
      </c>
      <c r="G26" s="51">
        <f>G8*G17-F17*F8</f>
        <v>0.4614574859999987</v>
      </c>
      <c r="H26" s="51">
        <f>H8*H17-G17*G8</f>
        <v>0.6337349474400007</v>
      </c>
      <c r="I26" s="51">
        <f>I8*I17-H17*H8</f>
        <v>0.98862651800640222</v>
      </c>
    </row>
    <row r="27" spans="2:21" x14ac:dyDescent="0.2">
      <c r="B27" s="1"/>
      <c r="C27" s="1"/>
      <c r="D27" s="13"/>
      <c r="E27" s="71"/>
      <c r="F27" s="14"/>
      <c r="G27" s="14"/>
      <c r="H27" s="14"/>
      <c r="I27" s="14"/>
    </row>
    <row r="28" spans="2:21" x14ac:dyDescent="0.2">
      <c r="B28" s="57" t="s">
        <v>35</v>
      </c>
      <c r="C28" s="57"/>
      <c r="D28" s="58"/>
      <c r="E28" s="72"/>
      <c r="F28" s="58"/>
      <c r="G28" s="58"/>
      <c r="H28" s="58"/>
      <c r="I28" s="58"/>
      <c r="J28" s="3"/>
    </row>
    <row r="29" spans="2:21" x14ac:dyDescent="0.2">
      <c r="B29" s="52" t="s">
        <v>8</v>
      </c>
      <c r="C29" s="52"/>
      <c r="D29" s="53"/>
      <c r="E29" s="74">
        <f>E22+E20-(E25+E26)</f>
        <v>1.3738619999999999</v>
      </c>
      <c r="F29" s="54">
        <f t="shared" ref="F29:I29" si="6">F22+F20-(F25+F26)</f>
        <v>7.8774873999999961</v>
      </c>
      <c r="G29" s="54">
        <f t="shared" si="6"/>
        <v>1.243442163600001</v>
      </c>
      <c r="H29" s="54">
        <f t="shared" si="6"/>
        <v>2.2186345970399977</v>
      </c>
      <c r="I29" s="54">
        <f t="shared" si="6"/>
        <v>3.4814126469523168</v>
      </c>
      <c r="J29" s="12"/>
    </row>
    <row r="30" spans="2:21" x14ac:dyDescent="0.2">
      <c r="B30" s="18"/>
      <c r="C30" s="18"/>
      <c r="D30" s="50"/>
      <c r="E30" s="75"/>
      <c r="F30" s="55"/>
      <c r="G30" s="55"/>
      <c r="H30" s="55"/>
      <c r="I30" s="55"/>
      <c r="J30" s="12"/>
    </row>
    <row r="31" spans="2:21" x14ac:dyDescent="0.2">
      <c r="B31" s="57" t="s">
        <v>21</v>
      </c>
      <c r="C31" s="57"/>
      <c r="D31" s="58"/>
      <c r="E31" s="72"/>
      <c r="F31" s="58"/>
      <c r="G31" s="58"/>
      <c r="H31" s="58"/>
      <c r="I31" s="58"/>
      <c r="J31" s="3"/>
    </row>
    <row r="32" spans="2:21" x14ac:dyDescent="0.2">
      <c r="B32" s="9" t="s">
        <v>9</v>
      </c>
      <c r="C32" s="9"/>
      <c r="D32" s="12">
        <f>NPV(wacc,E29:I29)</f>
        <v>12.685328922738643</v>
      </c>
      <c r="F32" s="12"/>
      <c r="G32" s="12"/>
      <c r="H32" s="12"/>
      <c r="I32" s="12"/>
      <c r="J32" s="15"/>
    </row>
    <row r="33" spans="2:20" x14ac:dyDescent="0.2">
      <c r="B33" s="9" t="s">
        <v>10</v>
      </c>
      <c r="C33" s="9"/>
      <c r="D33" s="12">
        <f>I29*(1+p_growth)/(wacc-p_growth)*1/(1+wacc)^5</f>
        <v>32.970470498121678</v>
      </c>
      <c r="F33" s="12"/>
      <c r="G33" s="12"/>
      <c r="H33" s="12"/>
      <c r="I33" s="12"/>
    </row>
    <row r="34" spans="2:20" x14ac:dyDescent="0.2">
      <c r="B34" s="9" t="s">
        <v>11</v>
      </c>
      <c r="C34" s="9"/>
      <c r="D34" s="12">
        <f>D32+D33</f>
        <v>45.655799420860319</v>
      </c>
      <c r="F34" s="12"/>
      <c r="G34" s="12"/>
      <c r="H34" s="12"/>
      <c r="I34" s="12"/>
    </row>
    <row r="35" spans="2:20" x14ac:dyDescent="0.2">
      <c r="B35" s="9" t="s">
        <v>12</v>
      </c>
      <c r="C35" s="9"/>
      <c r="D35" s="61">
        <v>12</v>
      </c>
      <c r="E35" s="8"/>
      <c r="F35" s="24"/>
      <c r="G35" s="24"/>
      <c r="H35" s="24"/>
      <c r="I35" s="24"/>
      <c r="J35" s="8"/>
      <c r="K35" s="8"/>
      <c r="L35" s="8"/>
      <c r="M35" s="45" t="s">
        <v>22</v>
      </c>
      <c r="N35" s="4"/>
      <c r="O35" s="25"/>
    </row>
    <row r="36" spans="2:20" x14ac:dyDescent="0.2">
      <c r="B36" s="9" t="s">
        <v>13</v>
      </c>
      <c r="C36" s="9"/>
      <c r="D36" s="12">
        <f>D34-D35</f>
        <v>33.655799420860319</v>
      </c>
      <c r="F36" s="12"/>
      <c r="G36" s="12"/>
      <c r="H36" s="12"/>
      <c r="I36" s="12"/>
    </row>
    <row r="37" spans="2:20" x14ac:dyDescent="0.2">
      <c r="B37" s="1" t="s">
        <v>23</v>
      </c>
      <c r="C37" s="1"/>
      <c r="D37" s="60">
        <v>0.58399999999999996</v>
      </c>
      <c r="E37" s="8"/>
      <c r="F37" s="24"/>
      <c r="G37" s="24"/>
      <c r="H37" s="24"/>
      <c r="I37" s="24"/>
      <c r="J37" s="8"/>
      <c r="K37" s="8"/>
      <c r="L37" s="8"/>
      <c r="M37" s="45" t="s">
        <v>24</v>
      </c>
      <c r="N37" s="4"/>
      <c r="O37" s="25"/>
      <c r="P37" s="18"/>
      <c r="Q37" s="18"/>
      <c r="R37" s="18"/>
      <c r="S37" s="18"/>
      <c r="T37" s="3"/>
    </row>
    <row r="38" spans="2:20" x14ac:dyDescent="0.2">
      <c r="B38" s="11"/>
      <c r="C38" s="11"/>
      <c r="D38" s="19"/>
      <c r="F38" s="14"/>
      <c r="G38" s="14"/>
      <c r="H38" s="14"/>
      <c r="I38" s="14"/>
      <c r="J38" s="3"/>
      <c r="K38" s="3"/>
      <c r="L38" s="3"/>
      <c r="M38" s="28"/>
      <c r="N38" s="18"/>
      <c r="O38" s="18"/>
      <c r="P38" s="18"/>
      <c r="Q38" s="18"/>
      <c r="R38" s="18"/>
      <c r="S38" s="18"/>
      <c r="T38" s="3"/>
    </row>
    <row r="39" spans="2:20" ht="13.5" thickBot="1" x14ac:dyDescent="0.25">
      <c r="B39" s="27" t="s">
        <v>38</v>
      </c>
      <c r="C39" s="27"/>
      <c r="D39" s="59">
        <f>D36/D37</f>
        <v>57.629793528870415</v>
      </c>
      <c r="F39" s="26"/>
      <c r="G39" s="26"/>
      <c r="H39" s="26"/>
      <c r="I39" s="26"/>
    </row>
    <row r="44" spans="2:20" x14ac:dyDescent="0.2">
      <c r="B44" s="15"/>
      <c r="C44" s="15"/>
    </row>
    <row r="45" spans="2:20" x14ac:dyDescent="0.2">
      <c r="B45" s="15"/>
      <c r="C45" s="15"/>
      <c r="D45" s="16"/>
      <c r="E45" s="15"/>
    </row>
    <row r="58" spans="2:10" s="6" customFormat="1" x14ac:dyDescent="0.2">
      <c r="B58" s="5"/>
      <c r="C58" s="5"/>
      <c r="E58" s="5"/>
      <c r="F58" s="5"/>
      <c r="G58" s="5"/>
      <c r="H58" s="5"/>
      <c r="I58" s="5"/>
      <c r="J58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Cost-of-capital</vt:lpstr>
      <vt:lpstr>Valuation-trial-YEP-2021</vt:lpstr>
      <vt:lpstr>'Valuation-trial-YEP-2021'!capex_growth</vt:lpstr>
      <vt:lpstr>'Valuation-trial-YEP-2021'!cogs</vt:lpstr>
      <vt:lpstr>'Valuation-trial-YEP-2021'!nwc</vt:lpstr>
      <vt:lpstr>'Valuation-trial-YEP-2021'!p_growth</vt:lpstr>
      <vt:lpstr>'Cost-of-capital'!Print_Area</vt:lpstr>
      <vt:lpstr>'Valuation-trial-YEP-2021'!sales_growth</vt:lpstr>
      <vt:lpstr>'Valuation-trial-YEP-2021'!sga</vt:lpstr>
      <vt:lpstr>'Valuation-trial-YEP-2021'!tax</vt:lpstr>
      <vt:lpstr>'Valuation-trial-YEP-2021'!wacc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2015-08-17T14:52:23Z</dcterms:created>
  <dcterms:modified xsi:type="dcterms:W3CDTF">2021-03-06T16:13:29Z</dcterms:modified>
</cp:coreProperties>
</file>