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Neerav\Official\Classes\FRA\AHM Chapter 1-3 Solutions\"/>
    </mc:Choice>
  </mc:AlternateContent>
  <xr:revisionPtr revIDLastSave="0" documentId="13_ncr:1_{D8D05164-5723-497E-9D4A-6B6F82EA1D87}" xr6:coauthVersionLast="44" xr6:coauthVersionMax="44" xr10:uidLastSave="{00000000-0000-0000-0000-000000000000}"/>
  <bookViews>
    <workbookView xWindow="-110" yWindow="-110" windowWidth="19420" windowHeight="10560" tabRatio="934" xr2:uid="{00000000-000D-0000-FFFF-FFFF00000000}"/>
  </bookViews>
  <sheets>
    <sheet name="Q-1" sheetId="1" r:id="rId1"/>
    <sheet name="Q-2" sheetId="2" r:id="rId2"/>
    <sheet name="Q-3" sheetId="3" r:id="rId3"/>
    <sheet name="Q-4" sheetId="4" r:id="rId4"/>
    <sheet name="Q-5" sheetId="5" r:id="rId5"/>
    <sheet name="Q-6" sheetId="6" r:id="rId6"/>
    <sheet name="Q-7" sheetId="7" r:id="rId7"/>
    <sheet name="Q-8" sheetId="8" r:id="rId8"/>
    <sheet name="Case 3‑1 Maynard Company (B)" sheetId="9" r:id="rId9"/>
    <sheet name="Case 3-3 Dispensers of Californ" sheetId="11" r:id="rId10"/>
    <sheet name="Case 3‑4 Pinetree Motel" sheetId="12" r:id="rId11"/>
    <sheet name=" " sheetId="13"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 i="12" l="1"/>
  <c r="B16" i="12"/>
  <c r="C38" i="11"/>
  <c r="Q21" i="11"/>
  <c r="P21" i="11"/>
  <c r="O21" i="11"/>
  <c r="K21" i="11"/>
  <c r="S29" i="9"/>
  <c r="R29" i="9"/>
  <c r="M29" i="9"/>
  <c r="L29" i="9"/>
  <c r="J29" i="9"/>
  <c r="I29" i="9"/>
  <c r="H29" i="9"/>
  <c r="G29" i="9"/>
  <c r="E29" i="9"/>
  <c r="T26" i="9"/>
  <c r="P24" i="9"/>
  <c r="P29" i="9" s="1"/>
  <c r="T23" i="9"/>
  <c r="K23" i="9"/>
  <c r="K29" i="9" s="1"/>
  <c r="I22" i="9"/>
  <c r="T22" i="9" s="1"/>
  <c r="T21" i="9"/>
  <c r="F21" i="9"/>
  <c r="F29" i="9" s="1"/>
  <c r="E20" i="9"/>
  <c r="T20" i="9" s="1"/>
  <c r="T19" i="9"/>
  <c r="T18" i="9"/>
  <c r="Q17" i="9"/>
  <c r="T17" i="9" s="1"/>
  <c r="T16" i="9"/>
  <c r="Q16" i="9"/>
  <c r="Q29" i="9" s="1"/>
  <c r="A15" i="9"/>
  <c r="N13" i="9"/>
  <c r="D13" i="9" s="1"/>
  <c r="N12" i="9"/>
  <c r="N29" i="9" s="1"/>
  <c r="A11" i="9"/>
  <c r="A29" i="9" s="1"/>
  <c r="A10" i="9"/>
  <c r="A9" i="9"/>
  <c r="O8" i="9"/>
  <c r="O29" i="9" s="1"/>
  <c r="C7" i="9"/>
  <c r="C29" i="9" s="1"/>
  <c r="B6" i="9"/>
  <c r="T6" i="9" s="1"/>
  <c r="B5" i="9"/>
  <c r="B29" i="9" s="1"/>
  <c r="T4" i="9"/>
  <c r="D14" i="9" l="1"/>
  <c r="T14" i="9" s="1"/>
  <c r="T29" i="9" s="1"/>
  <c r="T24" i="9"/>
  <c r="D29" i="9" l="1"/>
  <c r="J12" i="8" l="1"/>
  <c r="J29" i="8"/>
  <c r="C7" i="8"/>
  <c r="B5" i="7"/>
  <c r="C12" i="7" s="1"/>
  <c r="C13" i="7" s="1"/>
  <c r="D6" i="6" l="1"/>
  <c r="C3" i="5"/>
  <c r="D10" i="4"/>
  <c r="D8" i="4"/>
  <c r="B22" i="12" l="1"/>
  <c r="B20" i="12"/>
  <c r="B19" i="12"/>
  <c r="B14" i="12"/>
  <c r="B10" i="12"/>
  <c r="B6" i="12"/>
  <c r="B8" i="12" s="1"/>
  <c r="C23" i="12" s="1"/>
  <c r="C22" i="12" l="1"/>
  <c r="C16" i="12"/>
  <c r="B17" i="12"/>
  <c r="C17" i="12" s="1"/>
  <c r="C19" i="12"/>
  <c r="C12" i="12"/>
  <c r="C20" i="12"/>
  <c r="C10" i="12"/>
  <c r="C13" i="12"/>
  <c r="C14" i="12"/>
  <c r="C21" i="12"/>
  <c r="B24" i="12"/>
  <c r="C24" i="12" s="1"/>
  <c r="C6" i="12"/>
  <c r="C7" i="12"/>
  <c r="C11" i="12"/>
  <c r="C15" i="12"/>
  <c r="B25" i="12" l="1"/>
  <c r="C25" i="12" s="1"/>
  <c r="C39" i="11"/>
  <c r="C36" i="11"/>
  <c r="C34" i="11"/>
  <c r="C32" i="11"/>
  <c r="C31" i="11"/>
  <c r="C30" i="11"/>
  <c r="C29" i="11"/>
  <c r="C23" i="11"/>
  <c r="C25" i="11" s="1"/>
  <c r="E14" i="11"/>
  <c r="E7" i="11"/>
  <c r="F7" i="11" s="1"/>
  <c r="R19" i="11"/>
  <c r="C37" i="11" s="1"/>
  <c r="J20" i="11"/>
  <c r="M17" i="11"/>
  <c r="M21" i="11" s="1"/>
  <c r="J16" i="11"/>
  <c r="R15" i="11"/>
  <c r="C28" i="11" s="1"/>
  <c r="J14" i="11"/>
  <c r="B14" i="11"/>
  <c r="J13" i="11"/>
  <c r="J12" i="11"/>
  <c r="J11" i="11"/>
  <c r="J10" i="11"/>
  <c r="J9" i="11"/>
  <c r="J8" i="11"/>
  <c r="B8" i="11"/>
  <c r="R7" i="11"/>
  <c r="J7" i="11"/>
  <c r="J6" i="11"/>
  <c r="J5" i="11"/>
  <c r="L4" i="11"/>
  <c r="J4" i="11"/>
  <c r="J21" i="11" l="1"/>
  <c r="B7" i="11" s="1"/>
  <c r="C8" i="11" s="1"/>
  <c r="C33" i="11"/>
  <c r="B15" i="11"/>
  <c r="C15" i="11" s="1"/>
  <c r="B12" i="11"/>
  <c r="R18" i="11"/>
  <c r="R22" i="11" s="1"/>
  <c r="R21" i="11" l="1"/>
  <c r="C35" i="11"/>
  <c r="C40" i="11" s="1"/>
  <c r="L18" i="11"/>
  <c r="L21" i="11" s="1"/>
  <c r="B13" i="11" l="1"/>
  <c r="C13" i="11" s="1"/>
  <c r="C17" i="11" s="1"/>
  <c r="M23" i="11"/>
  <c r="E15" i="11"/>
  <c r="F15" i="11" s="1"/>
  <c r="F17" i="11" s="1"/>
  <c r="O23" i="11"/>
  <c r="D8" i="6" l="1"/>
  <c r="D7" i="6"/>
  <c r="D10" i="6"/>
  <c r="B6" i="6" s="1"/>
  <c r="B7" i="6" s="1"/>
  <c r="B7" i="8" l="1"/>
  <c r="J24" i="8"/>
  <c r="J9" i="8" l="1"/>
  <c r="J10" i="8" s="1"/>
  <c r="J5" i="8" l="1"/>
  <c r="J7" i="8" l="1"/>
  <c r="J14" i="8"/>
  <c r="E11" i="8" s="1"/>
  <c r="J31" i="8"/>
  <c r="F11" i="8" s="1"/>
  <c r="F13" i="8" s="1"/>
  <c r="C13" i="8" s="1"/>
  <c r="C9" i="8" s="1"/>
  <c r="D6" i="4" l="1"/>
  <c r="B9" i="3"/>
  <c r="C13" i="2"/>
  <c r="C6" i="2"/>
  <c r="C15" i="2" s="1"/>
</calcChain>
</file>

<file path=xl/sharedStrings.xml><?xml version="1.0" encoding="utf-8"?>
<sst xmlns="http://schemas.openxmlformats.org/spreadsheetml/2006/main" count="294" uniqueCount="223">
  <si>
    <t>a.</t>
  </si>
  <si>
    <t>b.</t>
  </si>
  <si>
    <t>c.</t>
  </si>
  <si>
    <t>d.</t>
  </si>
  <si>
    <t>e.</t>
  </si>
  <si>
    <t>f.</t>
  </si>
  <si>
    <t>Revenue</t>
  </si>
  <si>
    <t>Expenses</t>
  </si>
  <si>
    <t>c</t>
  </si>
  <si>
    <t>Sales</t>
  </si>
  <si>
    <t>Salaries</t>
  </si>
  <si>
    <t>Taxes</t>
  </si>
  <si>
    <t>Cost of goods sold</t>
  </si>
  <si>
    <t>Total expenses(b)</t>
  </si>
  <si>
    <t>Net Income (a-b)</t>
  </si>
  <si>
    <t>Total revenue (a)</t>
  </si>
  <si>
    <t xml:space="preserve">Beginning inventory </t>
  </si>
  <si>
    <t xml:space="preserve">Cost of goods sold </t>
  </si>
  <si>
    <t>Particulars</t>
  </si>
  <si>
    <t>Amount $</t>
  </si>
  <si>
    <r>
      <rPr>
        <i/>
        <sz val="11"/>
        <color theme="1"/>
        <rFont val="Times New Roman"/>
        <family val="1"/>
      </rPr>
      <t xml:space="preserve">Add: </t>
    </r>
    <r>
      <rPr>
        <sz val="11"/>
        <color theme="1"/>
        <rFont val="Times New Roman"/>
        <family val="1"/>
      </rPr>
      <t xml:space="preserve">Purchases </t>
    </r>
  </si>
  <si>
    <t xml:space="preserve">Less: Ending inventory </t>
  </si>
  <si>
    <t>Gross margin</t>
  </si>
  <si>
    <t>Gross Margin</t>
  </si>
  <si>
    <r>
      <rPr>
        <i/>
        <sz val="11"/>
        <color theme="1"/>
        <rFont val="Times New Roman"/>
        <family val="1"/>
      </rPr>
      <t xml:space="preserve">Less: </t>
    </r>
    <r>
      <rPr>
        <sz val="11"/>
        <color theme="1"/>
        <rFont val="Times New Roman"/>
        <family val="1"/>
      </rPr>
      <t>Cost of goods sold</t>
    </r>
  </si>
  <si>
    <t>Gross margin percentage</t>
  </si>
  <si>
    <t>Gross Margin / Sales</t>
  </si>
  <si>
    <t>Net income / Sales</t>
  </si>
  <si>
    <t>Date</t>
  </si>
  <si>
    <t>Expense</t>
  </si>
  <si>
    <t>Total Revenues (A)</t>
  </si>
  <si>
    <t>Less: Expenses</t>
  </si>
  <si>
    <t>Total Expenses(B)</t>
  </si>
  <si>
    <t>Interest expense</t>
  </si>
  <si>
    <t>Assets</t>
  </si>
  <si>
    <t>Liabilities + Owners' Equity</t>
  </si>
  <si>
    <t>Current Assets:</t>
  </si>
  <si>
    <t>Current Liabilities</t>
  </si>
  <si>
    <t>Inventories</t>
  </si>
  <si>
    <t>Long Term Debt</t>
  </si>
  <si>
    <t>Non current Assets:</t>
  </si>
  <si>
    <t>Owners’ Equity</t>
  </si>
  <si>
    <t xml:space="preserve">Capital </t>
  </si>
  <si>
    <t xml:space="preserve">Retained earnings </t>
  </si>
  <si>
    <t xml:space="preserve">Total liabilities and owners’ equity </t>
  </si>
  <si>
    <t>Other current  assets</t>
  </si>
  <si>
    <t>Therefor, net income equal to</t>
  </si>
  <si>
    <t>Calculaton of cost of goods sold</t>
  </si>
  <si>
    <t>WN-1</t>
  </si>
  <si>
    <t>Cost of goods sold (WN-1)</t>
  </si>
  <si>
    <t>Calculaton of Sales and Net income</t>
  </si>
  <si>
    <t xml:space="preserve">Revenue </t>
  </si>
  <si>
    <t>Rent expense</t>
  </si>
  <si>
    <t>Other expense</t>
  </si>
  <si>
    <t>Gross margin percentage  =</t>
  </si>
  <si>
    <t xml:space="preserve">Profit margin percentage  = </t>
  </si>
  <si>
    <t>Asset (Prepaid insurance)</t>
  </si>
  <si>
    <t>Insurance expense per month</t>
  </si>
  <si>
    <t>Prepaid insurance of The Pierson Computer Company</t>
  </si>
  <si>
    <t xml:space="preserve">Income Statement </t>
  </si>
  <si>
    <t>Total assets, current assets and noncurrent assets at the end of the period</t>
  </si>
  <si>
    <t>Net Income (WN-2)</t>
  </si>
  <si>
    <t>Other income</t>
  </si>
  <si>
    <t>Depreciation on equipment</t>
  </si>
  <si>
    <t>Case 3‑4: Pinetree Motel</t>
  </si>
  <si>
    <t>Accounting Equations</t>
  </si>
  <si>
    <t>Liabilities</t>
  </si>
  <si>
    <t>Owners' Equity</t>
  </si>
  <si>
    <t>Comments</t>
  </si>
  <si>
    <t>Cash / Bank</t>
  </si>
  <si>
    <t>Patent</t>
  </si>
  <si>
    <t>Equipment</t>
  </si>
  <si>
    <t>Loan from Bank</t>
  </si>
  <si>
    <t>Income Tax Payable</t>
  </si>
  <si>
    <t>Capital</t>
  </si>
  <si>
    <t>Capital contribution by owners</t>
  </si>
  <si>
    <t>Incorporation expense</t>
  </si>
  <si>
    <t>Equipment purchase</t>
  </si>
  <si>
    <t>Cash</t>
  </si>
  <si>
    <t>Income tax payable</t>
  </si>
  <si>
    <t>Labor and development expense to redesign</t>
  </si>
  <si>
    <t>Purchase of inventory</t>
  </si>
  <si>
    <t>Loan from local bank</t>
  </si>
  <si>
    <t>Loan repayment</t>
  </si>
  <si>
    <t>Manufacturing payroll</t>
  </si>
  <si>
    <r>
      <rPr>
        <i/>
        <sz val="11"/>
        <color theme="1"/>
        <rFont val="Times New Roman"/>
        <family val="1"/>
      </rPr>
      <t xml:space="preserve">Less: </t>
    </r>
    <r>
      <rPr>
        <sz val="11"/>
        <color theme="1"/>
        <rFont val="Times New Roman"/>
        <family val="1"/>
      </rPr>
      <t>Amortization</t>
    </r>
  </si>
  <si>
    <t>Other manufacturing expense</t>
  </si>
  <si>
    <t>Selling general and administration expense</t>
  </si>
  <si>
    <r>
      <rPr>
        <i/>
        <sz val="11"/>
        <color theme="1"/>
        <rFont val="Times New Roman"/>
        <family val="1"/>
      </rPr>
      <t xml:space="preserve">Less: </t>
    </r>
    <r>
      <rPr>
        <sz val="11"/>
        <color theme="1"/>
        <rFont val="Times New Roman"/>
        <family val="1"/>
      </rPr>
      <t>Depreciation</t>
    </r>
  </si>
  <si>
    <t xml:space="preserve">Total assets </t>
  </si>
  <si>
    <t>Amortization of patent</t>
  </si>
  <si>
    <t>Income tax expense</t>
  </si>
  <si>
    <t>Closing balance</t>
  </si>
  <si>
    <t>Revenue (Sales)</t>
  </si>
  <si>
    <t>Total</t>
  </si>
  <si>
    <t xml:space="preserve">Total Revenues </t>
  </si>
  <si>
    <t>Profit before tax</t>
  </si>
  <si>
    <t>Net Income</t>
  </si>
  <si>
    <t xml:space="preserve">Retained Earnings </t>
  </si>
  <si>
    <t>Case 3‑3 Dispensers of California, Inc</t>
  </si>
  <si>
    <t>Income Statement of Pinetree Motel for the First year</t>
  </si>
  <si>
    <t>Percentage of total revenue</t>
  </si>
  <si>
    <t>Revenue (from room rent)</t>
  </si>
  <si>
    <t>Other revenue (from vending machines)</t>
  </si>
  <si>
    <t xml:space="preserve">Payroll costs </t>
  </si>
  <si>
    <t xml:space="preserve">Administrative and general </t>
  </si>
  <si>
    <t xml:space="preserve">Direct operating expense </t>
  </si>
  <si>
    <t xml:space="preserve">Fees and commissions </t>
  </si>
  <si>
    <t>Advertising and promotion</t>
  </si>
  <si>
    <t xml:space="preserve">Repairs and maintenance </t>
  </si>
  <si>
    <t xml:space="preserve">Utilities </t>
  </si>
  <si>
    <t xml:space="preserve">Total operating expenses </t>
  </si>
  <si>
    <t xml:space="preserve">Property taxes, fees </t>
  </si>
  <si>
    <t xml:space="preserve">Insurance </t>
  </si>
  <si>
    <t xml:space="preserve">Depreciation </t>
  </si>
  <si>
    <t xml:space="preserve">Interest </t>
  </si>
  <si>
    <t xml:space="preserve">Rent </t>
  </si>
  <si>
    <t>Total fixed expenses</t>
  </si>
  <si>
    <t>Answers to Questions</t>
  </si>
  <si>
    <t>Question 1</t>
  </si>
  <si>
    <t>Sales ($44420 cash sales + $26505 credit sales)</t>
  </si>
  <si>
    <t>Less: Cost of sales (Note 1)</t>
  </si>
  <si>
    <t>Wages ($5660+$2202-$1974)</t>
  </si>
  <si>
    <t>Supplies used ($5559+$1671-$6630)</t>
  </si>
  <si>
    <t>Insurance ($3150-$2826)</t>
  </si>
  <si>
    <t>Depreciation ($157950 -$156000) + ($5928-$5304)</t>
  </si>
  <si>
    <t>Misc</t>
  </si>
  <si>
    <t>Income before income tax</t>
  </si>
  <si>
    <t>Less: Dividends</t>
  </si>
  <si>
    <t>Increase in retained earnings</t>
  </si>
  <si>
    <t>Note 1</t>
  </si>
  <si>
    <t>Cash purchases of merchandise</t>
  </si>
  <si>
    <t>Credit purchases of merchandise</t>
  </si>
  <si>
    <t>Inventory june 1</t>
  </si>
  <si>
    <t>Cost of goods available for sale</t>
  </si>
  <si>
    <t>Inventory june 30</t>
  </si>
  <si>
    <t>Cost of sales</t>
  </si>
  <si>
    <t>Question 2</t>
  </si>
  <si>
    <t>Accrual accounting! Think about the items that affect cash but not income and vice-a-versa.</t>
  </si>
  <si>
    <t>Question 3</t>
  </si>
  <si>
    <t>Accounts payable</t>
  </si>
  <si>
    <t>(Amounts in $)</t>
  </si>
  <si>
    <t>Particular</t>
  </si>
  <si>
    <t>Not a transaction; costs incurred on manufacturing will be expensed in July when goods are delivered.</t>
  </si>
  <si>
    <t>Yes, expense for June</t>
  </si>
  <si>
    <t>Cash (-9,750) = RE (-9,750)</t>
  </si>
  <si>
    <t>Inventory (-1,725) = RE (-1,725)</t>
  </si>
  <si>
    <t>Inventory (-25,000) = RE (-25,000)</t>
  </si>
  <si>
    <t>Cash (-750) = RE (-750)</t>
  </si>
  <si>
    <t>Not an expense for June; acquisition of an asset</t>
  </si>
  <si>
    <t>Cash (-27,000), Inventory (+27,000) = 0</t>
  </si>
  <si>
    <t>Income Statement for the month of June</t>
  </si>
  <si>
    <t>We will discuss these in Module II.</t>
  </si>
  <si>
    <t>No effect on income statement (IS).</t>
  </si>
  <si>
    <t>Depreciation of 8,000 will be deducted from the income of every year for the next five years.</t>
  </si>
  <si>
    <t>Revenue (Cost of goods sold) 6,000 (3,500) in IS of the current year and 6,200 (3,500) in the next year's IS.</t>
  </si>
  <si>
    <t>Subscription expense 36 in IS of the current year and 36 in the next year's IS.</t>
  </si>
  <si>
    <t>3 Months in 2015</t>
  </si>
  <si>
    <t>12 Months in 2016</t>
  </si>
  <si>
    <t>9 Months in 2017</t>
  </si>
  <si>
    <t>Year</t>
  </si>
  <si>
    <t>Income Statement of QED Electrinics Co. for the month of April XXXX</t>
  </si>
  <si>
    <t>Administrative and Misc.</t>
  </si>
  <si>
    <t xml:space="preserve">Bad debts </t>
  </si>
  <si>
    <t>Parts (1,600+2,100)</t>
  </si>
  <si>
    <t xml:space="preserve">Selling </t>
  </si>
  <si>
    <t>Utility bills</t>
  </si>
  <si>
    <t xml:space="preserve">Wages </t>
  </si>
  <si>
    <t>Income taxes</t>
  </si>
  <si>
    <t>Net income</t>
  </si>
  <si>
    <t>Opening balance</t>
  </si>
  <si>
    <t>Land</t>
  </si>
  <si>
    <t>Building</t>
  </si>
  <si>
    <t>Bank notes payable</t>
  </si>
  <si>
    <t>Taxes payable</t>
  </si>
  <si>
    <t>Accrued wages payable</t>
  </si>
  <si>
    <t>ASSETS</t>
  </si>
  <si>
    <t>LIABILITIES</t>
  </si>
  <si>
    <t>OWNERS' EQUITY</t>
  </si>
  <si>
    <t xml:space="preserve">Cash </t>
  </si>
  <si>
    <t>Accounts receivable</t>
  </si>
  <si>
    <t>Note receivable</t>
  </si>
  <si>
    <t>Merchandise inventory</t>
  </si>
  <si>
    <t>Supplies on hand</t>
  </si>
  <si>
    <t>Prepaid insurance</t>
  </si>
  <si>
    <t>Accumulated depreciation (Bldg)</t>
  </si>
  <si>
    <t>Accumulated depreciation (Eqpt)</t>
  </si>
  <si>
    <t>Other non current assets</t>
  </si>
  <si>
    <t>Other Non current liabilities</t>
  </si>
  <si>
    <t>Capital stock</t>
  </si>
  <si>
    <t>Retained earnings</t>
  </si>
  <si>
    <t>CASH SALES</t>
  </si>
  <si>
    <t>CREDIT SALES</t>
  </si>
  <si>
    <t>COST OF SALES/INVENTORY USED</t>
  </si>
  <si>
    <t>WAGE EXPENSE</t>
  </si>
  <si>
    <t>UTILITIES EXPENSE</t>
  </si>
  <si>
    <t>MISC. EXPENSE</t>
  </si>
  <si>
    <t>SUPPLIES USED</t>
  </si>
  <si>
    <t>INSURANCE EXPENSE</t>
  </si>
  <si>
    <t>DEPRECIATION ON BUILDING</t>
  </si>
  <si>
    <t>DEPRECIATION ON EQUIPMENT</t>
  </si>
  <si>
    <t>TAX EXPENSE</t>
  </si>
  <si>
    <t>DIVIDENDS DECLARED AND PAID*</t>
  </si>
  <si>
    <t>* DIVIDENDS ARE DISTRIBUTION OF PROFITS AND NOT EXPENSES. HENCE, WE SHOULD NOT INCLUDE THESE IN CALCULATION OF PROFITS/LOSSES.</t>
  </si>
  <si>
    <t>MAYNARD COMPANY</t>
  </si>
  <si>
    <t>Income tax expence</t>
  </si>
  <si>
    <t>Matching concept! We are interested in the cost of goods sold and not purchased. 14,715 and 36,030 are cash and total purchases, respectively. We need to do adjustments for opening and closing inventories.</t>
  </si>
  <si>
    <t>See accounting equation above.</t>
  </si>
  <si>
    <t>Selling, general and administration expense</t>
  </si>
  <si>
    <t>Components' Inventory</t>
  </si>
  <si>
    <t>Dividends distributed</t>
  </si>
  <si>
    <t>Profit for the year</t>
  </si>
  <si>
    <t>Retained Earnings (Revenues-Expenses-Dividends)</t>
  </si>
  <si>
    <t>Inventory of components</t>
  </si>
  <si>
    <t>Loan from bank</t>
  </si>
  <si>
    <t>Less: Dividends declared</t>
  </si>
  <si>
    <t>Parts consumed</t>
  </si>
  <si>
    <t>Balance Sheet of Dispensers of California, Inc. as on ______</t>
  </si>
  <si>
    <t>Income Statement of Dispensers of California, Inc for the year _____</t>
  </si>
  <si>
    <t>Its tough to agree on whether 86,100 is a withdrawal of capital or payment for services rendered by owners. This calculation assumes the latter. Even then a part of these payroll can be administrative.</t>
  </si>
  <si>
    <t>Directly related to the service provided.</t>
  </si>
  <si>
    <t>Less: Operating expenses/Product costs</t>
  </si>
  <si>
    <t>Less: Fixed expenses/Period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</si>
</sst>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8" x14ac:knownFonts="1">
    <font>
      <sz val="11"/>
      <color theme="1"/>
      <name val="Calibri"/>
      <family val="2"/>
      <scheme val="minor"/>
    </font>
    <font>
      <sz val="11"/>
      <color theme="1"/>
      <name val="Calibri"/>
      <family val="2"/>
      <scheme val="minor"/>
    </font>
    <font>
      <sz val="11"/>
      <color theme="1"/>
      <name val="Times New Roman"/>
      <family val="1"/>
    </font>
    <font>
      <b/>
      <sz val="11"/>
      <color theme="1"/>
      <name val="Times New Roman"/>
      <family val="1"/>
    </font>
    <font>
      <b/>
      <i/>
      <sz val="11"/>
      <color theme="1"/>
      <name val="Times New Roman"/>
      <family val="1"/>
    </font>
    <font>
      <i/>
      <sz val="11"/>
      <color theme="1"/>
      <name val="Times New Roman"/>
      <family val="1"/>
    </font>
    <font>
      <b/>
      <sz val="11"/>
      <color rgb="FF000000"/>
      <name val="Times New Roman"/>
      <family val="1"/>
    </font>
    <font>
      <i/>
      <u/>
      <sz val="11"/>
      <color theme="1"/>
      <name val="Times New Roman"/>
      <family val="1"/>
    </font>
    <font>
      <b/>
      <i/>
      <u/>
      <sz val="11"/>
      <color theme="1"/>
      <name val="Times New Roman"/>
      <family val="1"/>
    </font>
    <font>
      <b/>
      <sz val="11"/>
      <color theme="5"/>
      <name val="Times New Roman"/>
      <family val="1"/>
    </font>
    <font>
      <sz val="11"/>
      <color theme="5"/>
      <name val="Times New Roman"/>
      <family val="1"/>
    </font>
    <font>
      <b/>
      <i/>
      <sz val="11"/>
      <color theme="5"/>
      <name val="Times New Roman"/>
      <family val="1"/>
    </font>
    <font>
      <sz val="11"/>
      <color rgb="FFFF0000"/>
      <name val="Times New Roman"/>
      <family val="1"/>
    </font>
    <font>
      <b/>
      <sz val="12"/>
      <color theme="1"/>
      <name val="Times New Roman"/>
      <family val="1"/>
    </font>
    <font>
      <sz val="12"/>
      <color theme="1"/>
      <name val="Calibri"/>
      <family val="2"/>
      <scheme val="minor"/>
    </font>
    <font>
      <sz val="12"/>
      <color theme="1"/>
      <name val="Times New Roman"/>
      <family val="1"/>
    </font>
    <font>
      <u/>
      <sz val="12"/>
      <color theme="1"/>
      <name val="Times New Roman"/>
      <family val="1"/>
    </font>
    <font>
      <b/>
      <u/>
      <sz val="11"/>
      <color theme="1"/>
      <name val="Times New Roman"/>
      <family val="1"/>
    </font>
  </fonts>
  <fills count="4">
    <fill>
      <patternFill patternType="none"/>
    </fill>
    <fill>
      <patternFill patternType="gray125"/>
    </fill>
    <fill>
      <patternFill patternType="solid">
        <fgColor theme="5"/>
        <bgColor indexed="64"/>
      </patternFill>
    </fill>
    <fill>
      <patternFill patternType="solid">
        <fgColor rgb="FFFFC000"/>
        <bgColor indexed="64"/>
      </patternFill>
    </fill>
  </fills>
  <borders count="4">
    <border>
      <left/>
      <right/>
      <top/>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18">
    <xf numFmtId="0" fontId="0" fillId="0" borderId="0" xfId="0"/>
    <xf numFmtId="0" fontId="2" fillId="0" borderId="0" xfId="0" applyFont="1"/>
    <xf numFmtId="0" fontId="3" fillId="0" borderId="0" xfId="0" applyFont="1" applyAlignment="1">
      <alignment horizontal="center" vertical="center"/>
    </xf>
    <xf numFmtId="0" fontId="3" fillId="0" borderId="0" xfId="0" applyFont="1"/>
    <xf numFmtId="0" fontId="4" fillId="0" borderId="0" xfId="0" applyFont="1" applyAlignment="1">
      <alignment horizontal="right"/>
    </xf>
    <xf numFmtId="0" fontId="3" fillId="0" borderId="3" xfId="0" applyFont="1" applyBorder="1"/>
    <xf numFmtId="0" fontId="3" fillId="0" borderId="0" xfId="0" applyFont="1" applyAlignment="1">
      <alignment horizontal="right" vertical="center"/>
    </xf>
    <xf numFmtId="10" fontId="2" fillId="0" borderId="0" xfId="1" applyNumberFormat="1" applyFont="1"/>
    <xf numFmtId="0" fontId="3" fillId="0" borderId="3" xfId="0" applyFont="1" applyBorder="1" applyAlignment="1">
      <alignment vertical="center"/>
    </xf>
    <xf numFmtId="0" fontId="2" fillId="0" borderId="0" xfId="0" applyFont="1" applyAlignment="1">
      <alignment vertical="center"/>
    </xf>
    <xf numFmtId="0" fontId="3" fillId="0" borderId="0" xfId="0" applyFont="1" applyAlignment="1">
      <alignment vertical="center"/>
    </xf>
    <xf numFmtId="0" fontId="2" fillId="0" borderId="0" xfId="0" applyFont="1" applyAlignment="1">
      <alignment horizontal="center" vertical="center"/>
    </xf>
    <xf numFmtId="0" fontId="2" fillId="0" borderId="0" xfId="0" applyFont="1" applyAlignment="1">
      <alignment wrapText="1"/>
    </xf>
    <xf numFmtId="0" fontId="3" fillId="0" borderId="0" xfId="0" applyFont="1" applyBorder="1" applyAlignment="1">
      <alignment vertical="center"/>
    </xf>
    <xf numFmtId="0" fontId="8" fillId="0" borderId="0" xfId="0" applyFont="1" applyAlignment="1">
      <alignment vertical="center"/>
    </xf>
    <xf numFmtId="0" fontId="2" fillId="0" borderId="0" xfId="0" applyFont="1" applyAlignment="1">
      <alignment horizontal="left" vertical="center"/>
    </xf>
    <xf numFmtId="164" fontId="2" fillId="0" borderId="0" xfId="1" applyNumberFormat="1" applyFont="1" applyAlignment="1">
      <alignment horizontal="right" vertical="center"/>
    </xf>
    <xf numFmtId="165" fontId="2" fillId="0" borderId="0" xfId="2" applyNumberFormat="1" applyFont="1"/>
    <xf numFmtId="165" fontId="2" fillId="0" borderId="0" xfId="2" applyNumberFormat="1" applyFont="1" applyBorder="1"/>
    <xf numFmtId="0" fontId="5" fillId="0" borderId="0" xfId="0" applyFont="1" applyAlignment="1">
      <alignment vertical="center"/>
    </xf>
    <xf numFmtId="0" fontId="3" fillId="0" borderId="3" xfId="0" applyFont="1" applyBorder="1" applyAlignment="1">
      <alignment horizontal="center" vertical="center"/>
    </xf>
    <xf numFmtId="165" fontId="3" fillId="0" borderId="3" xfId="2" applyNumberFormat="1" applyFont="1" applyBorder="1"/>
    <xf numFmtId="165" fontId="3" fillId="0" borderId="3" xfId="2" applyNumberFormat="1" applyFont="1" applyBorder="1" applyAlignment="1">
      <alignment horizontal="center" vertical="center"/>
    </xf>
    <xf numFmtId="165" fontId="3" fillId="0" borderId="0" xfId="2" applyNumberFormat="1" applyFont="1" applyAlignment="1">
      <alignment horizontal="center" vertical="center"/>
    </xf>
    <xf numFmtId="165" fontId="3" fillId="0" borderId="0" xfId="2" applyNumberFormat="1" applyFont="1"/>
    <xf numFmtId="165" fontId="2" fillId="0" borderId="0" xfId="2" applyNumberFormat="1" applyFont="1" applyAlignment="1">
      <alignment horizontal="left" indent="3"/>
    </xf>
    <xf numFmtId="165" fontId="2" fillId="0" borderId="1" xfId="2" applyNumberFormat="1" applyFont="1" applyBorder="1"/>
    <xf numFmtId="165" fontId="4" fillId="0" borderId="0" xfId="2" applyNumberFormat="1" applyFont="1" applyAlignment="1">
      <alignment horizontal="right"/>
    </xf>
    <xf numFmtId="165" fontId="4" fillId="0" borderId="0" xfId="2" applyNumberFormat="1" applyFont="1"/>
    <xf numFmtId="165" fontId="4" fillId="0" borderId="0" xfId="2" applyNumberFormat="1" applyFont="1" applyAlignment="1">
      <alignment horizontal="right" indent="3"/>
    </xf>
    <xf numFmtId="165" fontId="3" fillId="0" borderId="2" xfId="2" applyNumberFormat="1" applyFont="1" applyBorder="1"/>
    <xf numFmtId="165" fontId="4" fillId="0" borderId="3" xfId="2" applyNumberFormat="1" applyFont="1" applyBorder="1"/>
    <xf numFmtId="17" fontId="2" fillId="0" borderId="0" xfId="0" applyNumberFormat="1" applyFont="1" applyAlignment="1">
      <alignment vertical="center"/>
    </xf>
    <xf numFmtId="17" fontId="3" fillId="0" borderId="0" xfId="0" applyNumberFormat="1" applyFont="1" applyAlignment="1">
      <alignment vertical="center"/>
    </xf>
    <xf numFmtId="15" fontId="2" fillId="0" borderId="0" xfId="0" applyNumberFormat="1" applyFont="1" applyAlignment="1">
      <alignment vertical="center"/>
    </xf>
    <xf numFmtId="165" fontId="2" fillId="0" borderId="0" xfId="2" applyNumberFormat="1" applyFont="1" applyAlignment="1">
      <alignment vertical="center"/>
    </xf>
    <xf numFmtId="165" fontId="2" fillId="0" borderId="0" xfId="2" applyNumberFormat="1" applyFont="1" applyAlignment="1">
      <alignment horizontal="center" vertical="center"/>
    </xf>
    <xf numFmtId="49" fontId="2" fillId="0" borderId="0" xfId="2" applyNumberFormat="1"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165" fontId="2" fillId="0" borderId="0" xfId="2" applyNumberFormat="1" applyFont="1" applyAlignment="1">
      <alignment horizontal="right" vertical="center"/>
    </xf>
    <xf numFmtId="165" fontId="2" fillId="0" borderId="1" xfId="2" applyNumberFormat="1" applyFont="1" applyBorder="1" applyAlignment="1">
      <alignment horizontal="right" vertical="center"/>
    </xf>
    <xf numFmtId="165" fontId="3" fillId="0" borderId="3" xfId="2" applyNumberFormat="1" applyFont="1" applyBorder="1" applyAlignment="1">
      <alignment horizontal="right" vertical="center"/>
    </xf>
    <xf numFmtId="0" fontId="14" fillId="0" borderId="0" xfId="0" applyFont="1"/>
    <xf numFmtId="0" fontId="15" fillId="0" borderId="0" xfId="0" applyFont="1" applyAlignment="1">
      <alignment vertical="center"/>
    </xf>
    <xf numFmtId="165" fontId="15" fillId="0" borderId="0" xfId="2" applyNumberFormat="1" applyFont="1" applyAlignment="1">
      <alignment vertical="center"/>
    </xf>
    <xf numFmtId="165" fontId="15" fillId="0" borderId="0" xfId="2" applyNumberFormat="1" applyFont="1" applyAlignment="1">
      <alignment horizontal="right" vertical="center"/>
    </xf>
    <xf numFmtId="0" fontId="16" fillId="0" borderId="0" xfId="0" applyFont="1" applyAlignment="1">
      <alignment vertical="center"/>
    </xf>
    <xf numFmtId="0" fontId="15" fillId="0" borderId="0" xfId="0" applyFont="1" applyAlignment="1">
      <alignment horizontal="left" vertical="center"/>
    </xf>
    <xf numFmtId="165" fontId="15" fillId="0" borderId="1" xfId="2" applyNumberFormat="1" applyFont="1" applyBorder="1" applyAlignment="1">
      <alignment horizontal="right" vertical="center"/>
    </xf>
    <xf numFmtId="165" fontId="13" fillId="0" borderId="3" xfId="2" applyNumberFormat="1" applyFont="1" applyBorder="1" applyAlignment="1">
      <alignment horizontal="right" vertical="center"/>
    </xf>
    <xf numFmtId="0" fontId="13" fillId="0" borderId="0" xfId="0" applyFont="1" applyAlignment="1">
      <alignment vertical="center"/>
    </xf>
    <xf numFmtId="165" fontId="3" fillId="0" borderId="1" xfId="2" applyNumberFormat="1" applyFont="1" applyBorder="1" applyAlignment="1">
      <alignment vertical="center"/>
    </xf>
    <xf numFmtId="165" fontId="3" fillId="0" borderId="3" xfId="2" applyNumberFormat="1" applyFont="1" applyBorder="1" applyAlignment="1">
      <alignment vertical="center"/>
    </xf>
    <xf numFmtId="165" fontId="7" fillId="0" borderId="0" xfId="2" applyNumberFormat="1" applyFont="1" applyBorder="1" applyAlignment="1">
      <alignment horizontal="left" vertical="top"/>
    </xf>
    <xf numFmtId="165" fontId="3" fillId="0" borderId="0" xfId="2" applyNumberFormat="1" applyFont="1" applyBorder="1" applyAlignment="1">
      <alignment horizontal="left" vertical="top"/>
    </xf>
    <xf numFmtId="165" fontId="2" fillId="0" borderId="0" xfId="2" applyNumberFormat="1" applyFont="1" applyBorder="1" applyAlignment="1">
      <alignment horizontal="left" vertical="top"/>
    </xf>
    <xf numFmtId="165" fontId="2" fillId="0" borderId="0" xfId="2" applyNumberFormat="1" applyFont="1" applyBorder="1" applyAlignment="1">
      <alignment horizontal="right" vertical="top"/>
    </xf>
    <xf numFmtId="165" fontId="2" fillId="0" borderId="3" xfId="2" applyNumberFormat="1" applyFont="1" applyBorder="1" applyAlignment="1">
      <alignment vertical="center"/>
    </xf>
    <xf numFmtId="165" fontId="3" fillId="0" borderId="0" xfId="2" applyNumberFormat="1" applyFont="1" applyAlignment="1">
      <alignment vertical="center"/>
    </xf>
    <xf numFmtId="165" fontId="7" fillId="0" borderId="0" xfId="2" applyNumberFormat="1" applyFont="1" applyBorder="1" applyAlignment="1">
      <alignment horizontal="left" vertical="top" wrapText="1"/>
    </xf>
    <xf numFmtId="165" fontId="2" fillId="0" borderId="0" xfId="2" applyNumberFormat="1" applyFont="1" applyAlignment="1">
      <alignment horizontal="left" vertical="top"/>
    </xf>
    <xf numFmtId="165" fontId="4" fillId="0" borderId="2" xfId="2" applyNumberFormat="1" applyFont="1" applyBorder="1" applyAlignment="1">
      <alignment horizontal="right"/>
    </xf>
    <xf numFmtId="165" fontId="4" fillId="0" borderId="2" xfId="2" applyNumberFormat="1" applyFont="1" applyBorder="1"/>
    <xf numFmtId="165" fontId="5" fillId="0" borderId="0" xfId="2" applyNumberFormat="1" applyFont="1" applyAlignment="1">
      <alignment vertical="center"/>
    </xf>
    <xf numFmtId="165" fontId="2" fillId="0" borderId="0" xfId="2" applyNumberFormat="1" applyFont="1" applyBorder="1" applyAlignment="1">
      <alignment vertical="center"/>
    </xf>
    <xf numFmtId="165" fontId="3" fillId="0" borderId="0" xfId="2" applyNumberFormat="1" applyFont="1" applyBorder="1" applyAlignment="1">
      <alignment horizontal="center" vertical="center" wrapText="1"/>
    </xf>
    <xf numFmtId="165" fontId="3" fillId="0" borderId="0" xfId="2" applyNumberFormat="1" applyFont="1" applyBorder="1" applyAlignment="1">
      <alignment horizontal="right" vertical="center"/>
    </xf>
    <xf numFmtId="165" fontId="3" fillId="0" borderId="0" xfId="2" applyNumberFormat="1" applyFont="1" applyBorder="1" applyAlignment="1">
      <alignment vertical="center"/>
    </xf>
    <xf numFmtId="165" fontId="3" fillId="0" borderId="0" xfId="2" applyNumberFormat="1" applyFont="1" applyBorder="1" applyAlignment="1">
      <alignment horizontal="left" vertical="center"/>
    </xf>
    <xf numFmtId="165" fontId="2" fillId="0" borderId="1" xfId="2" applyNumberFormat="1" applyFont="1" applyBorder="1" applyAlignment="1">
      <alignment vertical="center"/>
    </xf>
    <xf numFmtId="165" fontId="3" fillId="0" borderId="2" xfId="2" applyNumberFormat="1" applyFont="1" applyBorder="1" applyAlignment="1">
      <alignment vertical="center"/>
    </xf>
    <xf numFmtId="165" fontId="2" fillId="0" borderId="0" xfId="2" applyNumberFormat="1" applyFont="1" applyAlignment="1">
      <alignment vertical="center" wrapText="1"/>
    </xf>
    <xf numFmtId="165" fontId="2" fillId="3" borderId="0" xfId="2" applyNumberFormat="1" applyFont="1" applyFill="1" applyAlignment="1">
      <alignment horizontal="center" vertical="center" wrapText="1"/>
    </xf>
    <xf numFmtId="165" fontId="4" fillId="0" borderId="0" xfId="2" applyNumberFormat="1" applyFont="1" applyAlignment="1">
      <alignment vertical="center" wrapText="1"/>
    </xf>
    <xf numFmtId="165" fontId="4" fillId="3" borderId="0" xfId="2" applyNumberFormat="1" applyFont="1" applyFill="1" applyAlignment="1">
      <alignment vertical="center" wrapText="1"/>
    </xf>
    <xf numFmtId="165" fontId="3" fillId="0" borderId="0" xfId="2" applyNumberFormat="1" applyFont="1" applyAlignment="1">
      <alignment horizontal="center" vertical="center" wrapText="1"/>
    </xf>
    <xf numFmtId="165" fontId="3" fillId="3" borderId="0" xfId="2" applyNumberFormat="1" applyFont="1" applyFill="1" applyAlignment="1">
      <alignment horizontal="center" vertical="center" wrapText="1"/>
    </xf>
    <xf numFmtId="165" fontId="2" fillId="3" borderId="0" xfId="2" applyNumberFormat="1" applyFont="1" applyFill="1" applyAlignment="1">
      <alignment vertical="center" wrapText="1"/>
    </xf>
    <xf numFmtId="165" fontId="7" fillId="0" borderId="0" xfId="2" applyNumberFormat="1" applyFont="1" applyAlignment="1">
      <alignment vertical="center"/>
    </xf>
    <xf numFmtId="165" fontId="17" fillId="0" borderId="0" xfId="2" applyNumberFormat="1" applyFont="1" applyAlignment="1">
      <alignment vertical="center" wrapText="1"/>
    </xf>
    <xf numFmtId="165" fontId="8" fillId="0" borderId="0" xfId="2" applyNumberFormat="1" applyFont="1" applyAlignment="1">
      <alignment vertical="center"/>
    </xf>
    <xf numFmtId="165" fontId="3" fillId="2" borderId="0" xfId="2" applyNumberFormat="1" applyFont="1" applyFill="1" applyBorder="1" applyAlignment="1">
      <alignment vertical="center"/>
    </xf>
    <xf numFmtId="165" fontId="3" fillId="0" borderId="1" xfId="2" applyNumberFormat="1" applyFont="1" applyBorder="1" applyAlignment="1">
      <alignment horizontal="center" vertical="center" wrapText="1"/>
    </xf>
    <xf numFmtId="165" fontId="9" fillId="2" borderId="0" xfId="2" applyNumberFormat="1" applyFont="1" applyFill="1" applyBorder="1" applyAlignment="1">
      <alignment horizontal="center" vertical="center" wrapText="1"/>
    </xf>
    <xf numFmtId="165" fontId="2" fillId="0" borderId="0" xfId="2" applyNumberFormat="1" applyFont="1" applyAlignment="1">
      <alignment horizontal="left" vertical="center"/>
    </xf>
    <xf numFmtId="165" fontId="3" fillId="0" borderId="0" xfId="2" applyNumberFormat="1" applyFont="1" applyAlignment="1">
      <alignment horizontal="left" vertical="center"/>
    </xf>
    <xf numFmtId="165" fontId="2" fillId="2" borderId="0" xfId="2" applyNumberFormat="1" applyFont="1" applyFill="1" applyBorder="1" applyAlignment="1">
      <alignment vertical="center"/>
    </xf>
    <xf numFmtId="165" fontId="3" fillId="0" borderId="0" xfId="2" applyNumberFormat="1" applyFont="1" applyAlignment="1">
      <alignment vertical="center" wrapText="1"/>
    </xf>
    <xf numFmtId="165" fontId="10" fillId="2" borderId="0" xfId="2" applyNumberFormat="1" applyFont="1" applyFill="1" applyBorder="1" applyAlignment="1">
      <alignment horizontal="right" vertical="center"/>
    </xf>
    <xf numFmtId="165" fontId="2" fillId="0" borderId="0" xfId="2" applyNumberFormat="1" applyFont="1" applyFill="1" applyBorder="1" applyAlignment="1">
      <alignment horizontal="right" vertical="center"/>
    </xf>
    <xf numFmtId="165" fontId="7" fillId="0" borderId="0" xfId="2" applyNumberFormat="1" applyFont="1" applyBorder="1" applyAlignment="1">
      <alignment horizontal="left" vertical="center"/>
    </xf>
    <xf numFmtId="165" fontId="2" fillId="0" borderId="0" xfId="2" applyNumberFormat="1" applyFont="1" applyBorder="1" applyAlignment="1">
      <alignment horizontal="right" vertical="center"/>
    </xf>
    <xf numFmtId="165" fontId="7" fillId="0" borderId="0" xfId="2" applyNumberFormat="1" applyFont="1" applyBorder="1" applyAlignment="1">
      <alignment horizontal="left" vertical="center" wrapText="1"/>
    </xf>
    <xf numFmtId="165" fontId="2" fillId="0" borderId="0" xfId="2" applyNumberFormat="1" applyFont="1" applyBorder="1" applyAlignment="1">
      <alignment horizontal="left" vertical="center"/>
    </xf>
    <xf numFmtId="165" fontId="4" fillId="0" borderId="0" xfId="2" applyNumberFormat="1" applyFont="1" applyBorder="1" applyAlignment="1">
      <alignment horizontal="right" vertical="center"/>
    </xf>
    <xf numFmtId="165" fontId="4" fillId="0" borderId="2" xfId="2" applyNumberFormat="1" applyFont="1" applyBorder="1" applyAlignment="1">
      <alignment horizontal="right" vertical="center"/>
    </xf>
    <xf numFmtId="165" fontId="4" fillId="0" borderId="0" xfId="2" applyNumberFormat="1" applyFont="1" applyBorder="1" applyAlignment="1">
      <alignment horizontal="left" vertical="center"/>
    </xf>
    <xf numFmtId="165" fontId="4" fillId="0" borderId="0" xfId="2" applyNumberFormat="1" applyFont="1" applyBorder="1" applyAlignment="1">
      <alignment vertical="center"/>
    </xf>
    <xf numFmtId="165" fontId="4" fillId="0" borderId="2" xfId="2" applyNumberFormat="1" applyFont="1" applyBorder="1" applyAlignment="1">
      <alignment vertical="center"/>
    </xf>
    <xf numFmtId="165" fontId="11" fillId="2" borderId="0" xfId="2" applyNumberFormat="1" applyFont="1" applyFill="1" applyBorder="1" applyAlignment="1">
      <alignment horizontal="right" vertical="center"/>
    </xf>
    <xf numFmtId="165" fontId="4" fillId="0" borderId="0" xfId="2" applyNumberFormat="1" applyFont="1" applyAlignment="1">
      <alignment horizontal="left" vertical="center"/>
    </xf>
    <xf numFmtId="165" fontId="3" fillId="0" borderId="2" xfId="2" applyNumberFormat="1" applyFont="1" applyBorder="1" applyAlignment="1">
      <alignment horizontal="right" vertical="center"/>
    </xf>
    <xf numFmtId="165" fontId="3" fillId="0" borderId="0" xfId="2" applyNumberFormat="1" applyFont="1" applyAlignment="1">
      <alignment horizontal="right" vertical="center"/>
    </xf>
    <xf numFmtId="10" fontId="2" fillId="0" borderId="0" xfId="1" applyNumberFormat="1" applyFont="1" applyAlignment="1">
      <alignment horizontal="right" vertical="center"/>
    </xf>
    <xf numFmtId="10" fontId="3" fillId="0" borderId="3" xfId="1" applyNumberFormat="1" applyFont="1" applyBorder="1" applyAlignment="1">
      <alignment horizontal="left" vertical="center" wrapText="1"/>
    </xf>
    <xf numFmtId="164" fontId="2" fillId="0" borderId="3" xfId="1" applyNumberFormat="1" applyFont="1" applyBorder="1" applyAlignment="1">
      <alignment horizontal="right" vertical="center"/>
    </xf>
    <xf numFmtId="0" fontId="2" fillId="0" borderId="0" xfId="0" applyFont="1" applyBorder="1" applyAlignment="1">
      <alignment horizontal="left" vertical="center"/>
    </xf>
    <xf numFmtId="164" fontId="2" fillId="0" borderId="2" xfId="1" applyNumberFormat="1" applyFont="1" applyBorder="1" applyAlignment="1">
      <alignment horizontal="right" vertical="center"/>
    </xf>
    <xf numFmtId="165" fontId="3" fillId="0" borderId="1" xfId="2" applyNumberFormat="1" applyFont="1" applyBorder="1" applyAlignment="1">
      <alignment horizontal="center"/>
    </xf>
    <xf numFmtId="0" fontId="13" fillId="0" borderId="0" xfId="0" applyFont="1" applyAlignment="1">
      <alignment horizontal="center" vertical="center" wrapText="1"/>
    </xf>
    <xf numFmtId="165" fontId="6" fillId="0" borderId="0" xfId="2" applyNumberFormat="1" applyFont="1" applyAlignment="1">
      <alignment horizontal="center" vertical="center"/>
    </xf>
    <xf numFmtId="165" fontId="3" fillId="0" borderId="0" xfId="2" applyNumberFormat="1" applyFont="1" applyBorder="1" applyAlignment="1">
      <alignment horizontal="center" vertical="center" wrapText="1"/>
    </xf>
    <xf numFmtId="165" fontId="3" fillId="0" borderId="0" xfId="2" applyNumberFormat="1" applyFont="1" applyAlignment="1">
      <alignment horizontal="center" vertical="center" wrapText="1"/>
    </xf>
    <xf numFmtId="165" fontId="3" fillId="0" borderId="3" xfId="2" applyNumberFormat="1" applyFont="1" applyBorder="1" applyAlignment="1">
      <alignment horizontal="center" vertical="center"/>
    </xf>
    <xf numFmtId="165" fontId="3" fillId="0" borderId="3" xfId="2" applyNumberFormat="1" applyFont="1" applyBorder="1" applyAlignment="1">
      <alignment horizontal="center" vertical="center" wrapText="1"/>
    </xf>
    <xf numFmtId="165" fontId="3" fillId="0" borderId="0" xfId="2" applyNumberFormat="1" applyFont="1" applyAlignment="1">
      <alignment horizontal="center" vertical="center"/>
    </xf>
    <xf numFmtId="0" fontId="3" fillId="0" borderId="0" xfId="0" applyFont="1" applyBorder="1" applyAlignment="1">
      <alignment horizontal="center" vertical="center" wrapText="1"/>
    </xf>
  </cellXfs>
  <cellStyles count="3">
    <cellStyle name="Comma" xfId="2" builtinId="3"/>
    <cellStyle name="Normal" xfId="0" builtinId="0"/>
    <cellStyle name="Percent" xfId="1" builtinId="5"/>
  </cellStyles>
  <dxfs count="5">
    <dxf>
      <font>
        <color theme="5" tint="-0.24994659260841701"/>
      </font>
    </dxf>
    <dxf>
      <font>
        <color theme="5" tint="-0.24994659260841701"/>
      </font>
    </dxf>
    <dxf>
      <font>
        <color theme="5" tint="-0.24994659260841701"/>
      </font>
    </dxf>
    <dxf>
      <font>
        <color theme="5" tint="-0.24994659260841701"/>
      </font>
    </dxf>
    <dxf>
      <font>
        <color theme="5"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7"/>
  <sheetViews>
    <sheetView tabSelected="1" zoomScale="130" zoomScaleNormal="130" workbookViewId="0"/>
  </sheetViews>
  <sheetFormatPr defaultColWidth="9.1796875" defaultRowHeight="17.149999999999999" customHeight="1" x14ac:dyDescent="0.3"/>
  <cols>
    <col min="1" max="1" width="9.1796875" style="1"/>
    <col min="2" max="2" width="38.453125" style="1" customWidth="1"/>
    <col min="3" max="16384" width="9.1796875" style="1"/>
  </cols>
  <sheetData>
    <row r="2" spans="1:3" ht="17.149999999999999" customHeight="1" x14ac:dyDescent="0.3">
      <c r="A2" s="11" t="s">
        <v>0</v>
      </c>
      <c r="B2" s="1" t="s">
        <v>143</v>
      </c>
    </row>
    <row r="3" spans="1:3" ht="17.149999999999999" customHeight="1" x14ac:dyDescent="0.3">
      <c r="A3" s="11" t="s">
        <v>1</v>
      </c>
      <c r="B3" s="1" t="s">
        <v>144</v>
      </c>
      <c r="C3" s="1" t="s">
        <v>145</v>
      </c>
    </row>
    <row r="4" spans="1:3" ht="17.149999999999999" customHeight="1" x14ac:dyDescent="0.3">
      <c r="A4" s="11" t="s">
        <v>2</v>
      </c>
      <c r="B4" s="1" t="s">
        <v>144</v>
      </c>
      <c r="C4" s="1" t="s">
        <v>146</v>
      </c>
    </row>
    <row r="5" spans="1:3" ht="17.149999999999999" customHeight="1" x14ac:dyDescent="0.3">
      <c r="A5" s="11" t="s">
        <v>3</v>
      </c>
      <c r="B5" s="1" t="s">
        <v>144</v>
      </c>
      <c r="C5" s="1" t="s">
        <v>147</v>
      </c>
    </row>
    <row r="6" spans="1:3" ht="17.149999999999999" customHeight="1" x14ac:dyDescent="0.3">
      <c r="A6" s="11" t="s">
        <v>4</v>
      </c>
      <c r="B6" s="1" t="s">
        <v>144</v>
      </c>
      <c r="C6" s="1" t="s">
        <v>148</v>
      </c>
    </row>
    <row r="7" spans="1:3" ht="17.149999999999999" customHeight="1" x14ac:dyDescent="0.3">
      <c r="A7" s="11" t="s">
        <v>5</v>
      </c>
      <c r="B7" s="1" t="s">
        <v>149</v>
      </c>
      <c r="C7" s="1" t="s">
        <v>150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41"/>
  <sheetViews>
    <sheetView zoomScale="90" zoomScaleNormal="90" workbookViewId="0"/>
  </sheetViews>
  <sheetFormatPr defaultColWidth="9.1796875" defaultRowHeight="14" x14ac:dyDescent="0.35"/>
  <cols>
    <col min="1" max="1" width="40.90625" style="35" bestFit="1" customWidth="1"/>
    <col min="2" max="2" width="10.7265625" style="35" customWidth="1"/>
    <col min="3" max="3" width="10.6328125" style="35" bestFit="1" customWidth="1"/>
    <col min="4" max="4" width="33.81640625" style="35" bestFit="1" customWidth="1"/>
    <col min="5" max="5" width="10.26953125" style="35" customWidth="1"/>
    <col min="6" max="6" width="10.6328125" style="35" bestFit="1" customWidth="1"/>
    <col min="7" max="8" width="9.1796875" style="35"/>
    <col min="9" max="9" width="27.26953125" style="35" bestFit="1" customWidth="1"/>
    <col min="10" max="10" width="12.26953125" style="35" bestFit="1" customWidth="1"/>
    <col min="11" max="11" width="13" style="35" customWidth="1"/>
    <col min="12" max="12" width="9.81640625" style="35" bestFit="1" customWidth="1"/>
    <col min="13" max="13" width="10.90625" style="35" bestFit="1" customWidth="1"/>
    <col min="14" max="14" width="6.90625" style="35" bestFit="1" customWidth="1"/>
    <col min="15" max="15" width="10.6328125" style="35" bestFit="1" customWidth="1"/>
    <col min="16" max="16" width="11.81640625" style="35" bestFit="1" customWidth="1"/>
    <col min="17" max="17" width="9.81640625" style="35" bestFit="1" customWidth="1"/>
    <col min="18" max="18" width="32" style="35" customWidth="1"/>
    <col min="19" max="19" width="38.08984375" style="35" bestFit="1" customWidth="1"/>
    <col min="20" max="20" width="12.7265625" style="35" customWidth="1"/>
    <col min="21" max="21" width="28" style="35" customWidth="1"/>
    <col min="22" max="22" width="19.54296875" style="35" customWidth="1"/>
    <col min="23" max="16384" width="9.1796875" style="35"/>
  </cols>
  <sheetData>
    <row r="1" spans="1:19" x14ac:dyDescent="0.35">
      <c r="A1" s="81" t="s">
        <v>99</v>
      </c>
      <c r="I1" s="59" t="s">
        <v>65</v>
      </c>
      <c r="N1" s="87"/>
    </row>
    <row r="2" spans="1:19" x14ac:dyDescent="0.35">
      <c r="A2" s="81"/>
      <c r="G2" s="23"/>
      <c r="H2" s="23"/>
      <c r="J2" s="114" t="s">
        <v>34</v>
      </c>
      <c r="K2" s="114"/>
      <c r="L2" s="114"/>
      <c r="M2" s="114"/>
      <c r="N2" s="82"/>
      <c r="O2" s="115" t="s">
        <v>66</v>
      </c>
      <c r="P2" s="115"/>
      <c r="Q2" s="115" t="s">
        <v>67</v>
      </c>
      <c r="R2" s="115"/>
    </row>
    <row r="3" spans="1:19" ht="28" x14ac:dyDescent="0.35">
      <c r="A3" s="116" t="s">
        <v>217</v>
      </c>
      <c r="B3" s="116"/>
      <c r="C3" s="116"/>
      <c r="D3" s="116"/>
      <c r="E3" s="116"/>
      <c r="F3" s="116"/>
      <c r="I3" s="88" t="s">
        <v>68</v>
      </c>
      <c r="J3" s="83" t="s">
        <v>69</v>
      </c>
      <c r="K3" s="83" t="s">
        <v>209</v>
      </c>
      <c r="L3" s="83" t="s">
        <v>70</v>
      </c>
      <c r="M3" s="83" t="s">
        <v>71</v>
      </c>
      <c r="N3" s="84"/>
      <c r="O3" s="83" t="s">
        <v>72</v>
      </c>
      <c r="P3" s="83" t="s">
        <v>73</v>
      </c>
      <c r="Q3" s="83" t="s">
        <v>74</v>
      </c>
      <c r="R3" s="83" t="s">
        <v>212</v>
      </c>
      <c r="S3" s="88" t="s">
        <v>68</v>
      </c>
    </row>
    <row r="4" spans="1:19" x14ac:dyDescent="0.35">
      <c r="A4" s="23"/>
      <c r="B4" s="23"/>
      <c r="C4" s="23"/>
      <c r="D4" s="23"/>
      <c r="G4" s="68"/>
      <c r="H4" s="68"/>
      <c r="I4" s="35" t="s">
        <v>75</v>
      </c>
      <c r="J4" s="40">
        <f>Q4*40%</f>
        <v>80000</v>
      </c>
      <c r="K4" s="40"/>
      <c r="L4" s="40">
        <f>Q4*60%</f>
        <v>120000</v>
      </c>
      <c r="M4" s="40"/>
      <c r="N4" s="89"/>
      <c r="O4" s="90"/>
      <c r="P4" s="40"/>
      <c r="Q4" s="40">
        <v>200000</v>
      </c>
      <c r="R4" s="40"/>
    </row>
    <row r="5" spans="1:19" x14ac:dyDescent="0.35">
      <c r="A5" s="53" t="s">
        <v>34</v>
      </c>
      <c r="B5" s="53"/>
      <c r="C5" s="53" t="s">
        <v>19</v>
      </c>
      <c r="D5" s="53" t="s">
        <v>35</v>
      </c>
      <c r="E5" s="53"/>
      <c r="F5" s="53" t="s">
        <v>19</v>
      </c>
      <c r="G5" s="65"/>
      <c r="H5" s="65"/>
      <c r="I5" s="85"/>
      <c r="J5" s="40">
        <f>R5</f>
        <v>-2500</v>
      </c>
      <c r="K5" s="40"/>
      <c r="L5" s="40"/>
      <c r="M5" s="40"/>
      <c r="N5" s="89"/>
      <c r="O5" s="90"/>
      <c r="P5" s="40"/>
      <c r="Q5" s="40"/>
      <c r="R5" s="40">
        <v>-2500</v>
      </c>
      <c r="S5" s="35" t="s">
        <v>76</v>
      </c>
    </row>
    <row r="6" spans="1:19" x14ac:dyDescent="0.35">
      <c r="A6" s="91" t="s">
        <v>36</v>
      </c>
      <c r="B6" s="69"/>
      <c r="C6" s="69"/>
      <c r="D6" s="91" t="s">
        <v>37</v>
      </c>
      <c r="F6" s="65"/>
      <c r="G6" s="65"/>
      <c r="H6" s="92"/>
      <c r="I6" s="35" t="s">
        <v>77</v>
      </c>
      <c r="J6" s="40">
        <f>-M6</f>
        <v>-85000</v>
      </c>
      <c r="K6" s="40"/>
      <c r="L6" s="40"/>
      <c r="M6" s="40">
        <v>85000</v>
      </c>
      <c r="N6" s="89"/>
      <c r="O6" s="90"/>
      <c r="P6" s="40"/>
      <c r="Q6" s="40"/>
      <c r="R6" s="40"/>
    </row>
    <row r="7" spans="1:19" x14ac:dyDescent="0.35">
      <c r="A7" s="35" t="s">
        <v>78</v>
      </c>
      <c r="B7" s="92">
        <f>J21</f>
        <v>78400</v>
      </c>
      <c r="C7" s="40"/>
      <c r="D7" s="94" t="s">
        <v>79</v>
      </c>
      <c r="E7" s="35">
        <f>P21</f>
        <v>22500</v>
      </c>
      <c r="F7" s="65">
        <f>E7</f>
        <v>22500</v>
      </c>
      <c r="G7" s="92"/>
      <c r="H7" s="92"/>
      <c r="J7" s="40">
        <f>R7</f>
        <v>-25000</v>
      </c>
      <c r="K7" s="40"/>
      <c r="L7" s="40"/>
      <c r="M7" s="40"/>
      <c r="N7" s="89"/>
      <c r="O7" s="90"/>
      <c r="P7" s="40"/>
      <c r="Q7" s="40"/>
      <c r="R7" s="40">
        <f>-25000</f>
        <v>-25000</v>
      </c>
      <c r="S7" s="35" t="s">
        <v>80</v>
      </c>
    </row>
    <row r="8" spans="1:19" x14ac:dyDescent="0.35">
      <c r="A8" s="35" t="s">
        <v>213</v>
      </c>
      <c r="B8" s="41">
        <f>K21</f>
        <v>15100</v>
      </c>
      <c r="C8" s="92">
        <f>SUM(B7:B8)</f>
        <v>93500</v>
      </c>
      <c r="D8" s="65"/>
      <c r="E8" s="92"/>
      <c r="F8" s="92"/>
      <c r="G8" s="92"/>
      <c r="H8" s="92"/>
      <c r="I8" s="35" t="s">
        <v>81</v>
      </c>
      <c r="J8" s="40">
        <f>-K8</f>
        <v>-212100</v>
      </c>
      <c r="K8" s="40">
        <v>212100</v>
      </c>
      <c r="L8" s="40"/>
      <c r="M8" s="40"/>
      <c r="N8" s="89"/>
      <c r="O8" s="90"/>
      <c r="P8" s="40"/>
      <c r="Q8" s="40"/>
      <c r="R8" s="40"/>
    </row>
    <row r="9" spans="1:19" x14ac:dyDescent="0.35">
      <c r="B9" s="92"/>
      <c r="C9" s="92"/>
      <c r="D9" s="91" t="s">
        <v>39</v>
      </c>
      <c r="E9" s="92"/>
      <c r="F9" s="92"/>
      <c r="G9" s="92"/>
      <c r="H9" s="92"/>
      <c r="I9" s="35" t="s">
        <v>82</v>
      </c>
      <c r="J9" s="40">
        <f>O9</f>
        <v>30000</v>
      </c>
      <c r="K9" s="40"/>
      <c r="L9" s="40"/>
      <c r="M9" s="40"/>
      <c r="N9" s="89"/>
      <c r="O9" s="90">
        <v>30000</v>
      </c>
      <c r="P9" s="40"/>
      <c r="Q9" s="40"/>
      <c r="R9" s="40"/>
    </row>
    <row r="10" spans="1:19" x14ac:dyDescent="0.35">
      <c r="B10" s="40"/>
      <c r="C10" s="40"/>
      <c r="D10" s="35" t="s">
        <v>214</v>
      </c>
      <c r="E10" s="40"/>
      <c r="F10" s="92">
        <v>0</v>
      </c>
      <c r="G10" s="92"/>
      <c r="H10" s="92"/>
      <c r="J10" s="40">
        <f>R10</f>
        <v>-500</v>
      </c>
      <c r="K10" s="40"/>
      <c r="L10" s="40"/>
      <c r="M10" s="40"/>
      <c r="N10" s="89"/>
      <c r="O10" s="90"/>
      <c r="P10" s="40"/>
      <c r="Q10" s="40"/>
      <c r="R10" s="40">
        <v>-500</v>
      </c>
      <c r="S10" s="35" t="s">
        <v>33</v>
      </c>
    </row>
    <row r="11" spans="1:19" x14ac:dyDescent="0.35">
      <c r="A11" s="93" t="s">
        <v>40</v>
      </c>
      <c r="B11" s="40"/>
      <c r="C11" s="92"/>
      <c r="D11" s="65"/>
      <c r="E11" s="92"/>
      <c r="F11" s="92"/>
      <c r="G11" s="92"/>
      <c r="H11" s="92"/>
      <c r="I11" s="35" t="s">
        <v>83</v>
      </c>
      <c r="J11" s="40">
        <f>O11</f>
        <v>-30000</v>
      </c>
      <c r="K11" s="40"/>
      <c r="L11" s="40"/>
      <c r="M11" s="40"/>
      <c r="N11" s="89"/>
      <c r="O11" s="90">
        <v>-30000</v>
      </c>
      <c r="P11" s="40"/>
      <c r="Q11" s="40"/>
      <c r="R11" s="40"/>
    </row>
    <row r="12" spans="1:19" x14ac:dyDescent="0.35">
      <c r="A12" s="35" t="s">
        <v>70</v>
      </c>
      <c r="B12" s="92">
        <f>L4</f>
        <v>120000</v>
      </c>
      <c r="C12" s="92"/>
      <c r="E12" s="92"/>
      <c r="F12" s="92"/>
      <c r="G12" s="40"/>
      <c r="H12" s="40"/>
      <c r="J12" s="40">
        <f>R12</f>
        <v>-145000</v>
      </c>
      <c r="K12" s="40"/>
      <c r="L12" s="40"/>
      <c r="M12" s="40"/>
      <c r="N12" s="89"/>
      <c r="O12" s="90"/>
      <c r="P12" s="40"/>
      <c r="Q12" s="40"/>
      <c r="R12" s="40">
        <v>-145000</v>
      </c>
      <c r="S12" s="35" t="s">
        <v>84</v>
      </c>
    </row>
    <row r="13" spans="1:19" x14ac:dyDescent="0.35">
      <c r="A13" s="35" t="s">
        <v>85</v>
      </c>
      <c r="B13" s="41">
        <f>L18</f>
        <v>-20000</v>
      </c>
      <c r="C13" s="92">
        <f>SUM(B12:B13)</f>
        <v>100000</v>
      </c>
      <c r="D13" s="91" t="s">
        <v>41</v>
      </c>
      <c r="E13" s="40"/>
      <c r="F13" s="40"/>
      <c r="G13" s="40"/>
      <c r="H13" s="40"/>
      <c r="J13" s="40">
        <f>R13</f>
        <v>-62000</v>
      </c>
      <c r="K13" s="40"/>
      <c r="L13" s="40"/>
      <c r="M13" s="40"/>
      <c r="N13" s="89"/>
      <c r="O13" s="90"/>
      <c r="P13" s="40"/>
      <c r="Q13" s="40"/>
      <c r="R13" s="40">
        <v>-62000</v>
      </c>
      <c r="S13" s="35" t="s">
        <v>86</v>
      </c>
    </row>
    <row r="14" spans="1:19" x14ac:dyDescent="0.35">
      <c r="A14" s="35" t="s">
        <v>71</v>
      </c>
      <c r="B14" s="92">
        <f>M6</f>
        <v>85000</v>
      </c>
      <c r="C14" s="92"/>
      <c r="D14" s="94" t="s">
        <v>42</v>
      </c>
      <c r="E14" s="40">
        <f>Q21</f>
        <v>200000</v>
      </c>
      <c r="F14" s="40"/>
      <c r="G14" s="92"/>
      <c r="H14" s="92"/>
      <c r="J14" s="40">
        <f>R14</f>
        <v>-63000</v>
      </c>
      <c r="K14" s="40"/>
      <c r="L14" s="40"/>
      <c r="M14" s="40"/>
      <c r="N14" s="89"/>
      <c r="O14" s="90"/>
      <c r="P14" s="40"/>
      <c r="Q14" s="40"/>
      <c r="R14" s="40">
        <v>-63000</v>
      </c>
      <c r="S14" s="35" t="s">
        <v>208</v>
      </c>
    </row>
    <row r="15" spans="1:19" x14ac:dyDescent="0.35">
      <c r="A15" s="35" t="s">
        <v>88</v>
      </c>
      <c r="B15" s="41">
        <f>M17</f>
        <v>-8500</v>
      </c>
      <c r="C15" s="92">
        <f>SUM(B14:B15)</f>
        <v>76500</v>
      </c>
      <c r="D15" s="85" t="s">
        <v>43</v>
      </c>
      <c r="E15" s="41">
        <f>R21</f>
        <v>47500</v>
      </c>
      <c r="F15" s="92">
        <f>SUM(E14:E15)</f>
        <v>247500</v>
      </c>
      <c r="J15" s="40"/>
      <c r="K15" s="40">
        <v>-197000</v>
      </c>
      <c r="L15" s="40"/>
      <c r="M15" s="40"/>
      <c r="N15" s="89"/>
      <c r="O15" s="90"/>
      <c r="P15" s="40"/>
      <c r="Q15" s="40"/>
      <c r="R15" s="40">
        <f>K15</f>
        <v>-197000</v>
      </c>
      <c r="S15" s="85" t="s">
        <v>216</v>
      </c>
    </row>
    <row r="16" spans="1:19" x14ac:dyDescent="0.35">
      <c r="B16" s="92"/>
      <c r="C16" s="92"/>
      <c r="D16" s="85"/>
      <c r="G16" s="95"/>
      <c r="J16" s="40">
        <f>R16</f>
        <v>598500</v>
      </c>
      <c r="K16" s="40"/>
      <c r="L16" s="40"/>
      <c r="M16" s="40"/>
      <c r="N16" s="89"/>
      <c r="O16" s="90"/>
      <c r="P16" s="40"/>
      <c r="Q16" s="40"/>
      <c r="R16" s="40">
        <v>598500</v>
      </c>
      <c r="S16" s="35" t="s">
        <v>6</v>
      </c>
    </row>
    <row r="17" spans="1:23" ht="14.5" thickBot="1" x14ac:dyDescent="0.4">
      <c r="A17" s="95" t="s">
        <v>89</v>
      </c>
      <c r="B17" s="95"/>
      <c r="C17" s="96">
        <f>SUM(C6:C16)</f>
        <v>270000</v>
      </c>
      <c r="D17" s="97" t="s">
        <v>44</v>
      </c>
      <c r="E17" s="98"/>
      <c r="F17" s="96">
        <f>SUM(F6:F16)</f>
        <v>270000</v>
      </c>
      <c r="J17" s="40"/>
      <c r="K17" s="40"/>
      <c r="L17" s="40"/>
      <c r="M17" s="40">
        <f>R17</f>
        <v>-8500</v>
      </c>
      <c r="N17" s="89"/>
      <c r="O17" s="90"/>
      <c r="P17" s="40"/>
      <c r="Q17" s="40"/>
      <c r="R17" s="40">
        <v>-8500</v>
      </c>
      <c r="S17" s="35" t="s">
        <v>63</v>
      </c>
    </row>
    <row r="18" spans="1:23" ht="15" customHeight="1" thickTop="1" x14ac:dyDescent="0.35">
      <c r="A18" s="95"/>
      <c r="B18" s="95"/>
      <c r="C18" s="95"/>
      <c r="H18" s="95"/>
      <c r="J18" s="40"/>
      <c r="K18" s="40"/>
      <c r="L18" s="40">
        <f>R18</f>
        <v>-20000</v>
      </c>
      <c r="M18" s="40"/>
      <c r="N18" s="89"/>
      <c r="O18" s="90"/>
      <c r="P18" s="40"/>
      <c r="Q18" s="40"/>
      <c r="R18" s="40">
        <f>-L4/6</f>
        <v>-20000</v>
      </c>
      <c r="S18" s="35" t="s">
        <v>90</v>
      </c>
    </row>
    <row r="19" spans="1:23" x14ac:dyDescent="0.35">
      <c r="A19" s="112" t="s">
        <v>218</v>
      </c>
      <c r="B19" s="112"/>
      <c r="C19" s="112"/>
      <c r="J19" s="40"/>
      <c r="K19" s="40"/>
      <c r="L19" s="40"/>
      <c r="M19" s="40"/>
      <c r="N19" s="89"/>
      <c r="O19" s="90"/>
      <c r="P19" s="40">
        <v>22500</v>
      </c>
      <c r="Q19" s="40"/>
      <c r="R19" s="40">
        <f>-P19</f>
        <v>-22500</v>
      </c>
      <c r="S19" s="35" t="s">
        <v>91</v>
      </c>
    </row>
    <row r="20" spans="1:23" x14ac:dyDescent="0.35">
      <c r="A20" s="66"/>
      <c r="B20" s="66"/>
      <c r="C20" s="66"/>
      <c r="J20" s="40">
        <f>R20</f>
        <v>-5000</v>
      </c>
      <c r="K20" s="40"/>
      <c r="L20" s="40"/>
      <c r="M20" s="40"/>
      <c r="N20" s="89"/>
      <c r="O20" s="90"/>
      <c r="P20" s="40"/>
      <c r="Q20" s="40"/>
      <c r="R20" s="40">
        <v>-5000</v>
      </c>
      <c r="S20" s="35" t="s">
        <v>210</v>
      </c>
    </row>
    <row r="21" spans="1:23" ht="14.5" thickBot="1" x14ac:dyDescent="0.4">
      <c r="A21" s="68"/>
      <c r="B21" s="68"/>
      <c r="I21" s="99" t="s">
        <v>92</v>
      </c>
      <c r="J21" s="96">
        <f>SUM(J4:J20)</f>
        <v>78400</v>
      </c>
      <c r="K21" s="96">
        <f>SUM(K4:K19)</f>
        <v>15100</v>
      </c>
      <c r="L21" s="96">
        <f t="shared" ref="L21:M21" si="0">SUM(L4:L20)</f>
        <v>100000</v>
      </c>
      <c r="M21" s="96">
        <f t="shared" si="0"/>
        <v>76500</v>
      </c>
      <c r="N21" s="100"/>
      <c r="O21" s="96">
        <f t="shared" ref="O21:R21" si="1">SUM(O4:O20)</f>
        <v>0</v>
      </c>
      <c r="P21" s="96">
        <f t="shared" si="1"/>
        <v>22500</v>
      </c>
      <c r="Q21" s="96">
        <f t="shared" si="1"/>
        <v>200000</v>
      </c>
      <c r="R21" s="96">
        <f t="shared" si="1"/>
        <v>47500</v>
      </c>
    </row>
    <row r="22" spans="1:23" ht="14.5" thickTop="1" x14ac:dyDescent="0.35">
      <c r="A22" s="53" t="s">
        <v>18</v>
      </c>
      <c r="B22" s="58"/>
      <c r="C22" s="42" t="s">
        <v>19</v>
      </c>
      <c r="J22" s="40"/>
      <c r="K22" s="40"/>
      <c r="L22" s="40"/>
      <c r="M22" s="40"/>
      <c r="O22" s="40"/>
      <c r="R22" s="59">
        <f>SUM(R5:R19)</f>
        <v>52500</v>
      </c>
      <c r="S22" s="101" t="s">
        <v>211</v>
      </c>
      <c r="T22" s="40"/>
      <c r="U22" s="40"/>
      <c r="V22" s="40"/>
      <c r="W22" s="40"/>
    </row>
    <row r="23" spans="1:23" ht="14.5" thickBot="1" x14ac:dyDescent="0.4">
      <c r="A23" s="35" t="s">
        <v>93</v>
      </c>
      <c r="C23" s="35">
        <f>R16</f>
        <v>598500</v>
      </c>
      <c r="M23" s="102">
        <f>SUM(J21:M21)</f>
        <v>270000</v>
      </c>
      <c r="N23" s="23" t="s">
        <v>94</v>
      </c>
      <c r="O23" s="102">
        <f>SUM(O21:R21)</f>
        <v>270000</v>
      </c>
    </row>
    <row r="24" spans="1:23" ht="14.5" thickTop="1" x14ac:dyDescent="0.35">
      <c r="A24" s="35" t="s">
        <v>62</v>
      </c>
      <c r="C24" s="35">
        <v>0</v>
      </c>
    </row>
    <row r="25" spans="1:23" x14ac:dyDescent="0.35">
      <c r="A25" s="53" t="s">
        <v>95</v>
      </c>
      <c r="B25" s="58"/>
      <c r="C25" s="53">
        <f>SUM(C23:C24)</f>
        <v>598500</v>
      </c>
    </row>
    <row r="26" spans="1:23" x14ac:dyDescent="0.35">
      <c r="A26" s="59" t="s">
        <v>31</v>
      </c>
    </row>
    <row r="27" spans="1:23" x14ac:dyDescent="0.35">
      <c r="A27" s="86" t="s">
        <v>12</v>
      </c>
    </row>
    <row r="28" spans="1:23" x14ac:dyDescent="0.35">
      <c r="A28" s="85" t="s">
        <v>216</v>
      </c>
      <c r="C28" s="35">
        <f>R15</f>
        <v>-197000</v>
      </c>
    </row>
    <row r="29" spans="1:23" x14ac:dyDescent="0.35">
      <c r="A29" s="85" t="s">
        <v>84</v>
      </c>
      <c r="C29" s="35">
        <f>R12</f>
        <v>-145000</v>
      </c>
    </row>
    <row r="30" spans="1:23" x14ac:dyDescent="0.35">
      <c r="A30" s="85" t="s">
        <v>86</v>
      </c>
      <c r="C30" s="35">
        <f>R13</f>
        <v>-62000</v>
      </c>
    </row>
    <row r="31" spans="1:23" x14ac:dyDescent="0.35">
      <c r="A31" s="85" t="s">
        <v>63</v>
      </c>
      <c r="C31" s="65">
        <f>R17</f>
        <v>-8500</v>
      </c>
    </row>
    <row r="32" spans="1:23" x14ac:dyDescent="0.35">
      <c r="A32" s="85" t="s">
        <v>76</v>
      </c>
      <c r="C32" s="35">
        <f>R5</f>
        <v>-2500</v>
      </c>
    </row>
    <row r="33" spans="1:3" x14ac:dyDescent="0.35">
      <c r="A33" s="85" t="s">
        <v>80</v>
      </c>
      <c r="C33" s="35">
        <f>R7</f>
        <v>-25000</v>
      </c>
    </row>
    <row r="34" spans="1:3" x14ac:dyDescent="0.35">
      <c r="A34" s="85" t="s">
        <v>87</v>
      </c>
      <c r="C34" s="35">
        <f>R14</f>
        <v>-63000</v>
      </c>
    </row>
    <row r="35" spans="1:3" x14ac:dyDescent="0.35">
      <c r="A35" s="85" t="s">
        <v>90</v>
      </c>
      <c r="C35" s="65">
        <f>R18</f>
        <v>-20000</v>
      </c>
    </row>
    <row r="36" spans="1:3" x14ac:dyDescent="0.35">
      <c r="A36" s="85" t="s">
        <v>33</v>
      </c>
      <c r="C36" s="65">
        <f>R10</f>
        <v>-500</v>
      </c>
    </row>
    <row r="37" spans="1:3" x14ac:dyDescent="0.35">
      <c r="A37" s="85" t="s">
        <v>91</v>
      </c>
      <c r="C37" s="70">
        <f>R19</f>
        <v>-22500</v>
      </c>
    </row>
    <row r="38" spans="1:3" x14ac:dyDescent="0.35">
      <c r="A38" s="67" t="s">
        <v>97</v>
      </c>
      <c r="B38" s="65"/>
      <c r="C38" s="68">
        <f>SUM(C25:C37)</f>
        <v>52500</v>
      </c>
    </row>
    <row r="39" spans="1:3" x14ac:dyDescent="0.35">
      <c r="A39" s="85" t="s">
        <v>215</v>
      </c>
      <c r="C39" s="70">
        <f>R20</f>
        <v>-5000</v>
      </c>
    </row>
    <row r="40" spans="1:3" ht="14.5" thickBot="1" x14ac:dyDescent="0.4">
      <c r="A40" s="103" t="s">
        <v>98</v>
      </c>
      <c r="C40" s="71">
        <f>SUM(C38:C39)</f>
        <v>47500</v>
      </c>
    </row>
    <row r="41" spans="1:3" ht="14.5" thickTop="1" x14ac:dyDescent="0.35"/>
  </sheetData>
  <mergeCells count="5">
    <mergeCell ref="J2:M2"/>
    <mergeCell ref="O2:P2"/>
    <mergeCell ref="Q2:R2"/>
    <mergeCell ref="A3:F3"/>
    <mergeCell ref="A19:C19"/>
  </mergeCells>
  <conditionalFormatting sqref="J2:K2 Q2 O2 J3:R3">
    <cfRule type="cellIs" dxfId="0" priority="1" operator="lessThan">
      <formula>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6"/>
  <sheetViews>
    <sheetView zoomScaleNormal="100" workbookViewId="0"/>
  </sheetViews>
  <sheetFormatPr defaultColWidth="9.1796875" defaultRowHeight="14" x14ac:dyDescent="0.35"/>
  <cols>
    <col min="1" max="1" width="35" style="9" customWidth="1"/>
    <col min="2" max="2" width="13.7265625" style="35" customWidth="1"/>
    <col min="3" max="3" width="19.54296875" style="104" customWidth="1"/>
    <col min="4" max="16384" width="9.1796875" style="9"/>
  </cols>
  <sheetData>
    <row r="1" spans="1:4" x14ac:dyDescent="0.35">
      <c r="A1" s="14" t="s">
        <v>64</v>
      </c>
    </row>
    <row r="3" spans="1:4" x14ac:dyDescent="0.35">
      <c r="A3" s="117" t="s">
        <v>100</v>
      </c>
      <c r="B3" s="117"/>
      <c r="C3" s="117"/>
    </row>
    <row r="4" spans="1:4" x14ac:dyDescent="0.35">
      <c r="A4" s="13"/>
      <c r="B4" s="68"/>
    </row>
    <row r="5" spans="1:4" ht="28" x14ac:dyDescent="0.35">
      <c r="A5" s="8" t="s">
        <v>18</v>
      </c>
      <c r="B5" s="42" t="s">
        <v>19</v>
      </c>
      <c r="C5" s="105" t="s">
        <v>101</v>
      </c>
    </row>
    <row r="6" spans="1:4" x14ac:dyDescent="0.35">
      <c r="A6" s="9" t="s">
        <v>102</v>
      </c>
      <c r="B6" s="35">
        <f>236758-1660</f>
        <v>235098</v>
      </c>
      <c r="C6" s="16">
        <f>B6/$B$8</f>
        <v>0.96827443050069806</v>
      </c>
    </row>
    <row r="7" spans="1:4" x14ac:dyDescent="0.35">
      <c r="A7" s="9" t="s">
        <v>103</v>
      </c>
      <c r="B7" s="35">
        <v>7703</v>
      </c>
      <c r="C7" s="16">
        <f>B7/$B$8</f>
        <v>3.1725569499301901E-2</v>
      </c>
    </row>
    <row r="8" spans="1:4" x14ac:dyDescent="0.35">
      <c r="A8" s="8" t="s">
        <v>95</v>
      </c>
      <c r="B8" s="53">
        <f>SUM(B6:B7)</f>
        <v>242801</v>
      </c>
      <c r="C8" s="106">
        <v>1</v>
      </c>
    </row>
    <row r="9" spans="1:4" x14ac:dyDescent="0.35">
      <c r="A9" s="10" t="s">
        <v>221</v>
      </c>
      <c r="B9" s="65"/>
      <c r="C9" s="16"/>
    </row>
    <row r="10" spans="1:4" x14ac:dyDescent="0.35">
      <c r="A10" s="15" t="s">
        <v>104</v>
      </c>
      <c r="B10" s="35">
        <f>86100+26305+2894-795-84+1128+126</f>
        <v>115674</v>
      </c>
      <c r="C10" s="16">
        <f t="shared" ref="C10:C17" si="0">B10/$B$8</f>
        <v>0.47641484178401244</v>
      </c>
      <c r="D10" s="19" t="s">
        <v>219</v>
      </c>
    </row>
    <row r="11" spans="1:4" x14ac:dyDescent="0.35">
      <c r="A11" s="15" t="s">
        <v>105</v>
      </c>
      <c r="B11" s="35">
        <v>0</v>
      </c>
      <c r="C11" s="16">
        <f t="shared" si="0"/>
        <v>0</v>
      </c>
    </row>
    <row r="12" spans="1:4" x14ac:dyDescent="0.35">
      <c r="A12" s="15" t="s">
        <v>106</v>
      </c>
      <c r="B12" s="65">
        <f>8800+1660+6820+75</f>
        <v>17355</v>
      </c>
      <c r="C12" s="16">
        <f t="shared" si="0"/>
        <v>7.1478288804411844E-2</v>
      </c>
      <c r="D12" s="19" t="s">
        <v>220</v>
      </c>
    </row>
    <row r="13" spans="1:4" x14ac:dyDescent="0.35">
      <c r="A13" s="15" t="s">
        <v>107</v>
      </c>
      <c r="B13" s="35">
        <v>0</v>
      </c>
      <c r="C13" s="16">
        <f t="shared" si="0"/>
        <v>0</v>
      </c>
    </row>
    <row r="14" spans="1:4" x14ac:dyDescent="0.35">
      <c r="A14" s="15" t="s">
        <v>108</v>
      </c>
      <c r="B14" s="65">
        <f>2335-600+996</f>
        <v>2731</v>
      </c>
      <c r="C14" s="16">
        <f t="shared" si="0"/>
        <v>1.1247894366168179E-2</v>
      </c>
    </row>
    <row r="15" spans="1:4" x14ac:dyDescent="0.35">
      <c r="A15" s="15" t="s">
        <v>109</v>
      </c>
      <c r="B15" s="65">
        <v>8980</v>
      </c>
      <c r="C15" s="16">
        <f t="shared" si="0"/>
        <v>3.6985020654774901E-2</v>
      </c>
    </row>
    <row r="16" spans="1:4" x14ac:dyDescent="0.35">
      <c r="A16" s="15" t="s">
        <v>110</v>
      </c>
      <c r="B16" s="70">
        <f>12205+2789+5611-933-105-360+840+153+492</f>
        <v>20692</v>
      </c>
      <c r="C16" s="16">
        <f t="shared" si="0"/>
        <v>8.5222054274900025E-2</v>
      </c>
    </row>
    <row r="17" spans="1:3" x14ac:dyDescent="0.35">
      <c r="A17" s="6" t="s">
        <v>111</v>
      </c>
      <c r="B17" s="53">
        <f>SUM(B10:B16)</f>
        <v>165432</v>
      </c>
      <c r="C17" s="106">
        <f t="shared" si="0"/>
        <v>0.68134809988426737</v>
      </c>
    </row>
    <row r="18" spans="1:3" x14ac:dyDescent="0.35">
      <c r="A18" s="10" t="s">
        <v>222</v>
      </c>
      <c r="B18" s="65"/>
      <c r="C18" s="16"/>
    </row>
    <row r="19" spans="1:3" x14ac:dyDescent="0.35">
      <c r="A19" s="15" t="s">
        <v>112</v>
      </c>
      <c r="B19" s="65">
        <f>9870-1005+1119</f>
        <v>9984</v>
      </c>
      <c r="C19" s="16">
        <f t="shared" ref="C19:C25" si="1">B19/$B$8</f>
        <v>4.1120094233549287E-2</v>
      </c>
    </row>
    <row r="20" spans="1:3" x14ac:dyDescent="0.35">
      <c r="A20" s="15" t="s">
        <v>113</v>
      </c>
      <c r="B20" s="35">
        <f>11584-2025</f>
        <v>9559</v>
      </c>
      <c r="C20" s="16">
        <f t="shared" si="1"/>
        <v>3.9369689581179652E-2</v>
      </c>
    </row>
    <row r="21" spans="1:3" x14ac:dyDescent="0.35">
      <c r="A21" s="15" t="s">
        <v>114</v>
      </c>
      <c r="B21" s="35">
        <v>30280</v>
      </c>
      <c r="C21" s="16">
        <f t="shared" si="1"/>
        <v>0.12471118323235901</v>
      </c>
    </row>
    <row r="22" spans="1:3" x14ac:dyDescent="0.35">
      <c r="A22" s="15" t="s">
        <v>115</v>
      </c>
      <c r="B22" s="65">
        <f>10605-687+579</f>
        <v>10497</v>
      </c>
      <c r="C22" s="16">
        <f t="shared" si="1"/>
        <v>4.323293561393899E-2</v>
      </c>
    </row>
    <row r="23" spans="1:3" x14ac:dyDescent="0.35">
      <c r="A23" s="107" t="s">
        <v>116</v>
      </c>
      <c r="B23" s="65">
        <v>0</v>
      </c>
      <c r="C23" s="16">
        <f t="shared" si="1"/>
        <v>0</v>
      </c>
    </row>
    <row r="24" spans="1:3" x14ac:dyDescent="0.35">
      <c r="A24" s="6" t="s">
        <v>117</v>
      </c>
      <c r="B24" s="53">
        <f>SUM(B19:B23)</f>
        <v>60320</v>
      </c>
      <c r="C24" s="106">
        <f t="shared" si="1"/>
        <v>0.24843390266102694</v>
      </c>
    </row>
    <row r="25" spans="1:3" ht="14.5" thickBot="1" x14ac:dyDescent="0.4">
      <c r="A25" s="6" t="s">
        <v>96</v>
      </c>
      <c r="B25" s="71">
        <f>B8-B17-B24</f>
        <v>17049</v>
      </c>
      <c r="C25" s="108">
        <f t="shared" si="1"/>
        <v>7.0217997454705708E-2</v>
      </c>
    </row>
    <row r="26" spans="1:3" ht="14.5" thickTop="1" x14ac:dyDescent="0.35"/>
  </sheetData>
  <mergeCells count="1">
    <mergeCell ref="A3:C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election activeCell="J15" sqref="J15"/>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16"/>
  <sheetViews>
    <sheetView zoomScale="130" zoomScaleNormal="130" workbookViewId="0"/>
  </sheetViews>
  <sheetFormatPr defaultColWidth="9.1796875" defaultRowHeight="14" x14ac:dyDescent="0.3"/>
  <cols>
    <col min="1" max="1" width="9.1796875" style="17"/>
    <col min="2" max="2" width="25.7265625" style="17" customWidth="1"/>
    <col min="3" max="3" width="11.54296875" style="17" customWidth="1"/>
    <col min="4" max="16384" width="9.1796875" style="17"/>
  </cols>
  <sheetData>
    <row r="2" spans="1:3" x14ac:dyDescent="0.3">
      <c r="B2" s="109" t="s">
        <v>151</v>
      </c>
      <c r="C2" s="109"/>
    </row>
    <row r="3" spans="1:3" x14ac:dyDescent="0.3">
      <c r="B3" s="21" t="s">
        <v>142</v>
      </c>
      <c r="C3" s="22" t="s">
        <v>19</v>
      </c>
    </row>
    <row r="4" spans="1:3" x14ac:dyDescent="0.3">
      <c r="A4" s="23" t="s">
        <v>0</v>
      </c>
      <c r="B4" s="24" t="s">
        <v>6</v>
      </c>
    </row>
    <row r="5" spans="1:3" x14ac:dyDescent="0.3">
      <c r="A5" s="23"/>
      <c r="B5" s="25" t="s">
        <v>9</v>
      </c>
      <c r="C5" s="26">
        <v>275000</v>
      </c>
    </row>
    <row r="6" spans="1:3" x14ac:dyDescent="0.3">
      <c r="A6" s="23"/>
      <c r="B6" s="27" t="s">
        <v>15</v>
      </c>
      <c r="C6" s="28">
        <f>C5</f>
        <v>275000</v>
      </c>
    </row>
    <row r="7" spans="1:3" x14ac:dyDescent="0.3">
      <c r="A7" s="23" t="s">
        <v>1</v>
      </c>
      <c r="B7" s="24" t="s">
        <v>7</v>
      </c>
    </row>
    <row r="8" spans="1:3" x14ac:dyDescent="0.3">
      <c r="A8" s="23"/>
      <c r="B8" s="25" t="s">
        <v>12</v>
      </c>
      <c r="C8" s="17">
        <v>164000</v>
      </c>
    </row>
    <row r="9" spans="1:3" x14ac:dyDescent="0.3">
      <c r="A9" s="23"/>
      <c r="B9" s="25" t="s">
        <v>52</v>
      </c>
      <c r="C9" s="17">
        <v>3300</v>
      </c>
    </row>
    <row r="10" spans="1:3" x14ac:dyDescent="0.3">
      <c r="A10" s="23"/>
      <c r="B10" s="25" t="s">
        <v>10</v>
      </c>
      <c r="C10" s="17">
        <v>27400</v>
      </c>
    </row>
    <row r="11" spans="1:3" x14ac:dyDescent="0.3">
      <c r="A11" s="23"/>
      <c r="B11" s="25" t="s">
        <v>11</v>
      </c>
      <c r="C11" s="17">
        <v>1375</v>
      </c>
    </row>
    <row r="12" spans="1:3" x14ac:dyDescent="0.3">
      <c r="A12" s="23"/>
      <c r="B12" s="25" t="s">
        <v>53</v>
      </c>
      <c r="C12" s="26">
        <v>50240</v>
      </c>
    </row>
    <row r="13" spans="1:3" x14ac:dyDescent="0.3">
      <c r="A13" s="23"/>
      <c r="B13" s="27" t="s">
        <v>13</v>
      </c>
      <c r="C13" s="28">
        <f>SUM(C8:C12)</f>
        <v>246315</v>
      </c>
    </row>
    <row r="14" spans="1:3" x14ac:dyDescent="0.3">
      <c r="A14" s="23"/>
      <c r="B14" s="29"/>
      <c r="C14" s="28"/>
    </row>
    <row r="15" spans="1:3" ht="14.5" thickBot="1" x14ac:dyDescent="0.35">
      <c r="A15" s="23" t="s">
        <v>8</v>
      </c>
      <c r="B15" s="24" t="s">
        <v>14</v>
      </c>
      <c r="C15" s="30">
        <f>C6-C13</f>
        <v>28685</v>
      </c>
    </row>
    <row r="16" spans="1:3" ht="14.5" thickTop="1" x14ac:dyDescent="0.3"/>
  </sheetData>
  <mergeCells count="1">
    <mergeCell ref="B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B9"/>
  <sheetViews>
    <sheetView zoomScale="145" zoomScaleNormal="145" workbookViewId="0"/>
  </sheetViews>
  <sheetFormatPr defaultColWidth="9.1796875" defaultRowHeight="14" x14ac:dyDescent="0.3"/>
  <cols>
    <col min="1" max="1" width="22.7265625" style="1" customWidth="1"/>
    <col min="2" max="2" width="11.1796875" style="1" customWidth="1"/>
    <col min="3" max="16384" width="9.1796875" style="1"/>
  </cols>
  <sheetData>
    <row r="4" spans="1:2" x14ac:dyDescent="0.3">
      <c r="A4" s="5" t="s">
        <v>18</v>
      </c>
      <c r="B4" s="5" t="s">
        <v>19</v>
      </c>
    </row>
    <row r="5" spans="1:2" x14ac:dyDescent="0.3">
      <c r="A5" s="1" t="s">
        <v>16</v>
      </c>
      <c r="B5" s="17">
        <v>27000</v>
      </c>
    </row>
    <row r="6" spans="1:2" x14ac:dyDescent="0.3">
      <c r="A6" s="1" t="s">
        <v>20</v>
      </c>
      <c r="B6" s="17">
        <v>78000</v>
      </c>
    </row>
    <row r="7" spans="1:2" x14ac:dyDescent="0.3">
      <c r="A7" s="1" t="s">
        <v>21</v>
      </c>
      <c r="B7" s="17">
        <v>-31000</v>
      </c>
    </row>
    <row r="8" spans="1:2" x14ac:dyDescent="0.3">
      <c r="B8" s="17"/>
    </row>
    <row r="9" spans="1:2" x14ac:dyDescent="0.3">
      <c r="A9" s="3" t="s">
        <v>17</v>
      </c>
      <c r="B9" s="21">
        <f>SUM(B5:B7)</f>
        <v>74000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2"/>
  <sheetViews>
    <sheetView zoomScale="140" zoomScaleNormal="140" workbookViewId="0"/>
  </sheetViews>
  <sheetFormatPr defaultColWidth="9.1796875" defaultRowHeight="14" x14ac:dyDescent="0.3"/>
  <cols>
    <col min="1" max="1" width="6.54296875" style="2" customWidth="1"/>
    <col min="2" max="2" width="24.7265625" style="1" customWidth="1"/>
    <col min="3" max="3" width="22.26953125" style="1" bestFit="1" customWidth="1"/>
    <col min="4" max="4" width="13.54296875" style="1" bestFit="1" customWidth="1"/>
    <col min="5" max="16384" width="9.1796875" style="1"/>
  </cols>
  <sheetData>
    <row r="1" spans="1:4" x14ac:dyDescent="0.3">
      <c r="D1" s="3" t="s">
        <v>141</v>
      </c>
    </row>
    <row r="2" spans="1:4" x14ac:dyDescent="0.3">
      <c r="A2" s="2" t="s">
        <v>0</v>
      </c>
    </row>
    <row r="3" spans="1:4" x14ac:dyDescent="0.3">
      <c r="A3" s="6">
        <v>1</v>
      </c>
      <c r="B3" s="1" t="s">
        <v>22</v>
      </c>
    </row>
    <row r="4" spans="1:4" x14ac:dyDescent="0.3">
      <c r="C4" s="1" t="s">
        <v>9</v>
      </c>
      <c r="D4" s="17">
        <v>85000</v>
      </c>
    </row>
    <row r="5" spans="1:4" x14ac:dyDescent="0.3">
      <c r="C5" s="1" t="s">
        <v>24</v>
      </c>
      <c r="D5" s="17">
        <v>-45000</v>
      </c>
    </row>
    <row r="6" spans="1:4" x14ac:dyDescent="0.3">
      <c r="C6" s="4" t="s">
        <v>23</v>
      </c>
      <c r="D6" s="31">
        <f>SUM(D4:D5)</f>
        <v>40000</v>
      </c>
    </row>
    <row r="8" spans="1:4" x14ac:dyDescent="0.3">
      <c r="A8" s="6">
        <v>2</v>
      </c>
      <c r="B8" s="1" t="s">
        <v>54</v>
      </c>
      <c r="C8" s="1" t="s">
        <v>26</v>
      </c>
      <c r="D8" s="7">
        <f>D6/D4</f>
        <v>0.47058823529411764</v>
      </c>
    </row>
    <row r="10" spans="1:4" x14ac:dyDescent="0.3">
      <c r="A10" s="6">
        <v>3</v>
      </c>
      <c r="B10" s="1" t="s">
        <v>55</v>
      </c>
      <c r="C10" s="1" t="s">
        <v>27</v>
      </c>
      <c r="D10" s="7">
        <f>9000/D4</f>
        <v>0.10588235294117647</v>
      </c>
    </row>
    <row r="12" spans="1:4" x14ac:dyDescent="0.3">
      <c r="A12" s="2" t="s">
        <v>1</v>
      </c>
      <c r="B12" s="1" t="s">
        <v>152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
  <sheetViews>
    <sheetView zoomScale="140" zoomScaleNormal="140" workbookViewId="0"/>
  </sheetViews>
  <sheetFormatPr defaultColWidth="9.1796875" defaultRowHeight="14" x14ac:dyDescent="0.3"/>
  <cols>
    <col min="1" max="1" width="6.7265625" style="1" customWidth="1"/>
    <col min="2" max="2" width="81.7265625" style="1" bestFit="1" customWidth="1"/>
    <col min="3" max="16384" width="9.1796875" style="1"/>
  </cols>
  <sheetData>
    <row r="1" spans="1:3" x14ac:dyDescent="0.3">
      <c r="C1" s="3"/>
    </row>
    <row r="3" spans="1:3" x14ac:dyDescent="0.3">
      <c r="A3" s="2" t="s">
        <v>0</v>
      </c>
      <c r="B3" s="1" t="s">
        <v>154</v>
      </c>
      <c r="C3" s="1">
        <f>40000/5</f>
        <v>8000</v>
      </c>
    </row>
    <row r="4" spans="1:3" x14ac:dyDescent="0.3">
      <c r="A4" s="2" t="s">
        <v>1</v>
      </c>
      <c r="B4" s="1" t="s">
        <v>153</v>
      </c>
    </row>
    <row r="5" spans="1:3" ht="28" x14ac:dyDescent="0.3">
      <c r="A5" s="2" t="s">
        <v>2</v>
      </c>
      <c r="B5" s="12" t="s">
        <v>155</v>
      </c>
    </row>
    <row r="6" spans="1:3" x14ac:dyDescent="0.3">
      <c r="A6" s="2" t="s">
        <v>3</v>
      </c>
      <c r="B6" s="1" t="s">
        <v>156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
  <sheetViews>
    <sheetView zoomScale="150" zoomScaleNormal="150" workbookViewId="0">
      <selection activeCell="C6" sqref="C6"/>
    </sheetView>
  </sheetViews>
  <sheetFormatPr defaultColWidth="9.1796875" defaultRowHeight="14" x14ac:dyDescent="0.35"/>
  <cols>
    <col min="1" max="1" width="10" style="9" bestFit="1" customWidth="1"/>
    <col min="2" max="2" width="24.26953125" style="9" bestFit="1" customWidth="1"/>
    <col min="3" max="3" width="5.08984375" style="11" bestFit="1" customWidth="1"/>
    <col min="4" max="4" width="11" style="9" bestFit="1" customWidth="1"/>
    <col min="5" max="5" width="10.1796875" style="9" bestFit="1" customWidth="1"/>
    <col min="6" max="16384" width="9.1796875" style="9"/>
  </cols>
  <sheetData>
    <row r="1" spans="1:5" x14ac:dyDescent="0.35">
      <c r="A1" s="32"/>
    </row>
    <row r="2" spans="1:5" x14ac:dyDescent="0.35">
      <c r="A2" s="33" t="s">
        <v>58</v>
      </c>
    </row>
    <row r="3" spans="1:5" x14ac:dyDescent="0.35">
      <c r="D3" s="10" t="s">
        <v>141</v>
      </c>
    </row>
    <row r="4" spans="1:5" x14ac:dyDescent="0.35">
      <c r="A4" s="8" t="s">
        <v>28</v>
      </c>
      <c r="B4" s="8" t="s">
        <v>56</v>
      </c>
      <c r="C4" s="20" t="s">
        <v>160</v>
      </c>
      <c r="D4" s="8" t="s">
        <v>29</v>
      </c>
    </row>
    <row r="5" spans="1:5" x14ac:dyDescent="0.35">
      <c r="A5" s="34">
        <v>42278</v>
      </c>
      <c r="B5" s="35">
        <v>30000</v>
      </c>
      <c r="C5" s="36"/>
      <c r="D5" s="35"/>
    </row>
    <row r="6" spans="1:5" x14ac:dyDescent="0.35">
      <c r="A6" s="34">
        <v>42369</v>
      </c>
      <c r="B6" s="35">
        <f>B5-(D10*3)</f>
        <v>26250</v>
      </c>
      <c r="C6" s="37">
        <v>2015</v>
      </c>
      <c r="D6" s="35">
        <f>-D10*3</f>
        <v>-3750</v>
      </c>
      <c r="E6" s="9" t="s">
        <v>157</v>
      </c>
    </row>
    <row r="7" spans="1:5" x14ac:dyDescent="0.35">
      <c r="A7" s="34">
        <v>42735</v>
      </c>
      <c r="B7" s="35">
        <f>B6-(D10*12)</f>
        <v>11250</v>
      </c>
      <c r="C7" s="37">
        <v>2016</v>
      </c>
      <c r="D7" s="35">
        <f>-D10*12</f>
        <v>-15000</v>
      </c>
      <c r="E7" s="9" t="s">
        <v>158</v>
      </c>
    </row>
    <row r="8" spans="1:5" x14ac:dyDescent="0.35">
      <c r="A8" s="34">
        <v>43100</v>
      </c>
      <c r="B8" s="35">
        <v>0</v>
      </c>
      <c r="C8" s="37">
        <v>2017</v>
      </c>
      <c r="D8" s="35">
        <f>-D10*9</f>
        <v>-11250</v>
      </c>
      <c r="E8" s="9" t="s">
        <v>159</v>
      </c>
    </row>
    <row r="10" spans="1:5" x14ac:dyDescent="0.35">
      <c r="B10" s="38" t="s">
        <v>57</v>
      </c>
      <c r="C10" s="39"/>
      <c r="D10" s="38">
        <f>30000/24</f>
        <v>1250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
  <sheetViews>
    <sheetView zoomScaleNormal="100" workbookViewId="0">
      <selection activeCell="C12" sqref="C12"/>
    </sheetView>
  </sheetViews>
  <sheetFormatPr defaultColWidth="9.1796875" defaultRowHeight="15.5" x14ac:dyDescent="0.35"/>
  <cols>
    <col min="1" max="1" width="23.08984375" style="43" bestFit="1" customWidth="1"/>
    <col min="2" max="16384" width="9.1796875" style="43"/>
  </cols>
  <sheetData>
    <row r="1" spans="1:3" ht="29" customHeight="1" x14ac:dyDescent="0.35">
      <c r="A1" s="110" t="s">
        <v>161</v>
      </c>
      <c r="B1" s="110"/>
      <c r="C1" s="110"/>
    </row>
    <row r="2" spans="1:3" x14ac:dyDescent="0.35">
      <c r="A2" s="44" t="s">
        <v>6</v>
      </c>
      <c r="B2" s="45"/>
      <c r="C2" s="46">
        <v>33400</v>
      </c>
    </row>
    <row r="3" spans="1:3" x14ac:dyDescent="0.35">
      <c r="A3" s="47" t="s">
        <v>7</v>
      </c>
      <c r="B3" s="46"/>
      <c r="C3" s="46"/>
    </row>
    <row r="4" spans="1:3" x14ac:dyDescent="0.35">
      <c r="A4" s="48" t="s">
        <v>162</v>
      </c>
      <c r="B4" s="46">
        <v>4700</v>
      </c>
      <c r="C4" s="46"/>
    </row>
    <row r="5" spans="1:3" x14ac:dyDescent="0.35">
      <c r="A5" s="48" t="s">
        <v>163</v>
      </c>
      <c r="B5" s="46">
        <f>0.05*(33400-20500)</f>
        <v>645</v>
      </c>
      <c r="C5" s="46"/>
    </row>
    <row r="6" spans="1:3" x14ac:dyDescent="0.35">
      <c r="A6" s="48" t="s">
        <v>114</v>
      </c>
      <c r="B6" s="46">
        <v>2700</v>
      </c>
      <c r="C6" s="46"/>
    </row>
    <row r="7" spans="1:3" x14ac:dyDescent="0.35">
      <c r="A7" s="48" t="s">
        <v>115</v>
      </c>
      <c r="B7" s="46">
        <v>880</v>
      </c>
      <c r="C7" s="46"/>
    </row>
    <row r="8" spans="1:3" x14ac:dyDescent="0.35">
      <c r="A8" s="48" t="s">
        <v>164</v>
      </c>
      <c r="B8" s="46">
        <v>3700</v>
      </c>
      <c r="C8" s="46"/>
    </row>
    <row r="9" spans="1:3" x14ac:dyDescent="0.35">
      <c r="A9" s="48" t="s">
        <v>165</v>
      </c>
      <c r="B9" s="46">
        <v>1900</v>
      </c>
      <c r="C9" s="46"/>
    </row>
    <row r="10" spans="1:3" x14ac:dyDescent="0.35">
      <c r="A10" s="48" t="s">
        <v>166</v>
      </c>
      <c r="B10" s="46">
        <v>800</v>
      </c>
      <c r="C10" s="46"/>
    </row>
    <row r="11" spans="1:3" x14ac:dyDescent="0.35">
      <c r="A11" s="48" t="s">
        <v>167</v>
      </c>
      <c r="B11" s="46">
        <v>10000</v>
      </c>
      <c r="C11" s="46"/>
    </row>
    <row r="12" spans="1:3" x14ac:dyDescent="0.35">
      <c r="A12" s="44" t="s">
        <v>168</v>
      </c>
      <c r="B12" s="46">
        <v>2800</v>
      </c>
      <c r="C12" s="49">
        <f>SUM(B4:B12)</f>
        <v>28125</v>
      </c>
    </row>
    <row r="13" spans="1:3" x14ac:dyDescent="0.35">
      <c r="A13" s="51" t="s">
        <v>169</v>
      </c>
      <c r="B13" s="46"/>
      <c r="C13" s="50">
        <f>C2-C12</f>
        <v>5275</v>
      </c>
    </row>
  </sheetData>
  <mergeCells count="1">
    <mergeCell ref="A1:C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J31"/>
  <sheetViews>
    <sheetView zoomScaleNormal="100" workbookViewId="0">
      <selection activeCell="A15" sqref="A15"/>
    </sheetView>
  </sheetViews>
  <sheetFormatPr defaultColWidth="9.1796875" defaultRowHeight="14" x14ac:dyDescent="0.3"/>
  <cols>
    <col min="1" max="1" width="18.90625" style="17" customWidth="1"/>
    <col min="2" max="2" width="7.54296875" style="17" bestFit="1" customWidth="1"/>
    <col min="3" max="3" width="10.453125" style="17" bestFit="1" customWidth="1"/>
    <col min="4" max="4" width="32.36328125" style="17" bestFit="1" customWidth="1"/>
    <col min="5" max="5" width="8.54296875" style="17" bestFit="1" customWidth="1"/>
    <col min="6" max="6" width="10.453125" style="17" bestFit="1" customWidth="1"/>
    <col min="7" max="7" width="9.1796875" style="17"/>
    <col min="8" max="8" width="7.1796875" style="17" bestFit="1" customWidth="1"/>
    <col min="9" max="9" width="32.81640625" style="17" bestFit="1" customWidth="1"/>
    <col min="10" max="10" width="10.453125" style="17" bestFit="1" customWidth="1"/>
    <col min="11" max="16384" width="9.1796875" style="17"/>
  </cols>
  <sheetData>
    <row r="2" spans="1:10" x14ac:dyDescent="0.3">
      <c r="A2" s="111" t="s">
        <v>60</v>
      </c>
      <c r="B2" s="111"/>
      <c r="C2" s="111"/>
      <c r="D2" s="111"/>
      <c r="E2" s="111"/>
      <c r="F2" s="111"/>
      <c r="I2" s="112" t="s">
        <v>59</v>
      </c>
      <c r="J2" s="112"/>
    </row>
    <row r="3" spans="1:10" x14ac:dyDescent="0.3">
      <c r="J3" s="52"/>
    </row>
    <row r="4" spans="1:10" x14ac:dyDescent="0.3">
      <c r="A4" s="21" t="s">
        <v>34</v>
      </c>
      <c r="B4" s="21"/>
      <c r="C4" s="21" t="s">
        <v>19</v>
      </c>
      <c r="D4" s="21" t="s">
        <v>35</v>
      </c>
      <c r="E4" s="21"/>
      <c r="F4" s="21" t="s">
        <v>19</v>
      </c>
      <c r="I4" s="53" t="s">
        <v>18</v>
      </c>
      <c r="J4" s="53" t="s">
        <v>19</v>
      </c>
    </row>
    <row r="5" spans="1:10" x14ac:dyDescent="0.3">
      <c r="A5" s="54" t="s">
        <v>36</v>
      </c>
      <c r="B5" s="55"/>
      <c r="C5" s="55"/>
      <c r="D5" s="54" t="s">
        <v>37</v>
      </c>
      <c r="F5" s="18">
        <v>50000</v>
      </c>
      <c r="I5" s="35" t="s">
        <v>51</v>
      </c>
      <c r="J5" s="35">
        <f>J29</f>
        <v>81818.181818181809</v>
      </c>
    </row>
    <row r="6" spans="1:10" x14ac:dyDescent="0.3">
      <c r="A6" s="56" t="s">
        <v>38</v>
      </c>
      <c r="B6" s="57">
        <v>30000</v>
      </c>
      <c r="D6" s="56"/>
      <c r="E6" s="18"/>
      <c r="F6" s="18"/>
      <c r="I6" s="35"/>
      <c r="J6" s="35"/>
    </row>
    <row r="7" spans="1:10" x14ac:dyDescent="0.3">
      <c r="A7" s="17" t="s">
        <v>45</v>
      </c>
      <c r="B7" s="26">
        <f>C7-B6</f>
        <v>50000</v>
      </c>
      <c r="C7" s="57">
        <f>F5*1.6</f>
        <v>80000</v>
      </c>
      <c r="D7" s="54" t="s">
        <v>39</v>
      </c>
      <c r="E7" s="18"/>
      <c r="F7" s="18">
        <v>40000</v>
      </c>
      <c r="I7" s="53" t="s">
        <v>30</v>
      </c>
      <c r="J7" s="58">
        <f>J5</f>
        <v>81818.181818181809</v>
      </c>
    </row>
    <row r="8" spans="1:10" x14ac:dyDescent="0.3">
      <c r="E8" s="18"/>
      <c r="F8" s="18"/>
      <c r="I8" s="59" t="s">
        <v>31</v>
      </c>
      <c r="J8" s="35"/>
    </row>
    <row r="9" spans="1:10" x14ac:dyDescent="0.3">
      <c r="A9" s="60" t="s">
        <v>40</v>
      </c>
      <c r="C9" s="57">
        <f>C13-C7</f>
        <v>138181.81818181818</v>
      </c>
      <c r="D9" s="54" t="s">
        <v>41</v>
      </c>
      <c r="F9" s="18"/>
      <c r="I9" s="35" t="s">
        <v>49</v>
      </c>
      <c r="J9" s="35">
        <f>J24</f>
        <v>45000</v>
      </c>
    </row>
    <row r="10" spans="1:10" x14ac:dyDescent="0.3">
      <c r="A10" s="56"/>
      <c r="B10" s="57"/>
      <c r="C10" s="57"/>
      <c r="D10" s="56" t="s">
        <v>170</v>
      </c>
      <c r="E10" s="17">
        <v>120000</v>
      </c>
      <c r="I10" s="53" t="s">
        <v>32</v>
      </c>
      <c r="J10" s="53">
        <f>SUM(J9:J9)</f>
        <v>45000</v>
      </c>
    </row>
    <row r="11" spans="1:10" x14ac:dyDescent="0.3">
      <c r="A11" s="56"/>
      <c r="B11" s="56"/>
      <c r="C11" s="57"/>
      <c r="D11" s="61" t="s">
        <v>43</v>
      </c>
      <c r="E11" s="26">
        <f>J14</f>
        <v>8181.8181818181811</v>
      </c>
      <c r="F11" s="17">
        <f>SUM(E10:E11)</f>
        <v>128181.81818181818</v>
      </c>
      <c r="I11" s="53"/>
      <c r="J11" s="53"/>
    </row>
    <row r="12" spans="1:10" x14ac:dyDescent="0.3">
      <c r="I12" s="53" t="s">
        <v>22</v>
      </c>
      <c r="J12" s="53">
        <f>J7-J10</f>
        <v>36818.181818181809</v>
      </c>
    </row>
    <row r="13" spans="1:10" ht="14.5" thickBot="1" x14ac:dyDescent="0.35">
      <c r="A13" s="62" t="s">
        <v>89</v>
      </c>
      <c r="B13" s="62"/>
      <c r="C13" s="62">
        <f>F13</f>
        <v>218181.81818181818</v>
      </c>
      <c r="D13" s="62" t="s">
        <v>44</v>
      </c>
      <c r="E13" s="63"/>
      <c r="F13" s="63">
        <f>SUM(F5:F12)</f>
        <v>218181.81818181818</v>
      </c>
    </row>
    <row r="14" spans="1:10" ht="14.5" thickTop="1" x14ac:dyDescent="0.3">
      <c r="I14" s="21" t="s">
        <v>61</v>
      </c>
      <c r="J14" s="21">
        <f>J5*10%</f>
        <v>8181.8181818181811</v>
      </c>
    </row>
    <row r="17" spans="8:10" x14ac:dyDescent="0.3">
      <c r="H17" s="24" t="s">
        <v>48</v>
      </c>
      <c r="I17" s="24" t="s">
        <v>47</v>
      </c>
    </row>
    <row r="19" spans="8:10" x14ac:dyDescent="0.3">
      <c r="I19" s="21" t="s">
        <v>18</v>
      </c>
      <c r="J19" s="21" t="s">
        <v>19</v>
      </c>
    </row>
    <row r="20" spans="8:10" x14ac:dyDescent="0.3">
      <c r="I20" s="17" t="s">
        <v>16</v>
      </c>
      <c r="J20" s="17">
        <v>35000</v>
      </c>
    </row>
    <row r="21" spans="8:10" x14ac:dyDescent="0.3">
      <c r="I21" s="17" t="s">
        <v>20</v>
      </c>
      <c r="J21" s="17">
        <v>40000</v>
      </c>
    </row>
    <row r="22" spans="8:10" x14ac:dyDescent="0.3">
      <c r="I22" s="17" t="s">
        <v>21</v>
      </c>
      <c r="J22" s="17">
        <v>-30000</v>
      </c>
    </row>
    <row r="24" spans="8:10" x14ac:dyDescent="0.3">
      <c r="I24" s="24" t="s">
        <v>17</v>
      </c>
      <c r="J24" s="21">
        <f>SUM(J20:J22)</f>
        <v>45000</v>
      </c>
    </row>
    <row r="26" spans="8:10" x14ac:dyDescent="0.3">
      <c r="H26" s="24" t="s">
        <v>48</v>
      </c>
      <c r="I26" s="24" t="s">
        <v>50</v>
      </c>
    </row>
    <row r="28" spans="8:10" x14ac:dyDescent="0.3">
      <c r="I28" s="17" t="s">
        <v>25</v>
      </c>
      <c r="J28" s="17">
        <v>0.45</v>
      </c>
    </row>
    <row r="29" spans="8:10" x14ac:dyDescent="0.3">
      <c r="I29" s="17" t="s">
        <v>9</v>
      </c>
      <c r="J29" s="17">
        <f>J9/(1-J28)</f>
        <v>81818.181818181809</v>
      </c>
    </row>
    <row r="31" spans="8:10" x14ac:dyDescent="0.3">
      <c r="I31" s="17" t="s">
        <v>46</v>
      </c>
      <c r="J31" s="17">
        <f>J29*10%</f>
        <v>8181.8181818181811</v>
      </c>
    </row>
  </sheetData>
  <mergeCells count="2">
    <mergeCell ref="A2:F2"/>
    <mergeCell ref="I2:J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7"/>
  <sheetViews>
    <sheetView topLeftCell="A28" zoomScaleNormal="100" workbookViewId="0">
      <selection activeCell="A33" sqref="A33"/>
    </sheetView>
  </sheetViews>
  <sheetFormatPr defaultRowHeight="14" x14ac:dyDescent="0.35"/>
  <cols>
    <col min="1" max="1" width="45" style="72" customWidth="1"/>
    <col min="2" max="2" width="10.7265625" style="72" bestFit="1" customWidth="1"/>
    <col min="3" max="3" width="14.26953125" style="72" bestFit="1" customWidth="1"/>
    <col min="4" max="4" width="11.90625" style="72" bestFit="1" customWidth="1"/>
    <col min="5" max="5" width="10.7265625" style="72" bestFit="1" customWidth="1"/>
    <col min="6" max="6" width="9.7265625" style="72" bestFit="1" customWidth="1"/>
    <col min="7" max="7" width="10.7265625" style="72" bestFit="1" customWidth="1"/>
    <col min="8" max="8" width="11.7265625" style="72" bestFit="1" customWidth="1"/>
    <col min="9" max="9" width="12.453125" style="72" bestFit="1" customWidth="1"/>
    <col min="10" max="10" width="10.7265625" style="72" bestFit="1" customWidth="1"/>
    <col min="11" max="11" width="12.08984375" style="72" bestFit="1" customWidth="1"/>
    <col min="12" max="12" width="12.7265625" style="72" bestFit="1" customWidth="1"/>
    <col min="13" max="13" width="3.6328125" style="72" bestFit="1" customWidth="1"/>
    <col min="14" max="14" width="10" style="72" bestFit="1" customWidth="1"/>
    <col min="15" max="15" width="10.453125" style="72" bestFit="1" customWidth="1"/>
    <col min="16" max="16" width="9.7265625" style="72" bestFit="1" customWidth="1"/>
    <col min="17" max="17" width="13.81640625" style="72" bestFit="1" customWidth="1"/>
    <col min="18" max="18" width="10" style="35" bestFit="1" customWidth="1"/>
    <col min="19" max="20" width="11.7265625" style="72" bestFit="1" customWidth="1"/>
    <col min="21" max="21" width="33.7265625" style="35" bestFit="1" customWidth="1"/>
    <col min="22" max="16384" width="8.7265625" style="72"/>
  </cols>
  <sheetData>
    <row r="1" spans="1:21" x14ac:dyDescent="0.35">
      <c r="A1" s="113" t="s">
        <v>176</v>
      </c>
      <c r="B1" s="113"/>
      <c r="C1" s="113"/>
      <c r="D1" s="113"/>
      <c r="E1" s="113"/>
      <c r="F1" s="113"/>
      <c r="G1" s="113"/>
      <c r="H1" s="113"/>
      <c r="I1" s="113"/>
      <c r="J1" s="113"/>
      <c r="K1" s="113"/>
      <c r="L1" s="113"/>
      <c r="M1" s="73"/>
      <c r="N1" s="113" t="s">
        <v>177</v>
      </c>
      <c r="O1" s="113"/>
      <c r="P1" s="113"/>
      <c r="Q1" s="113"/>
      <c r="R1" s="113"/>
      <c r="S1" s="113" t="s">
        <v>178</v>
      </c>
      <c r="T1" s="113"/>
    </row>
    <row r="2" spans="1:21" x14ac:dyDescent="0.35">
      <c r="A2" s="74">
        <v>34983</v>
      </c>
      <c r="B2" s="74">
        <v>21798</v>
      </c>
      <c r="C2" s="74">
        <v>11700</v>
      </c>
      <c r="D2" s="74">
        <v>29835</v>
      </c>
      <c r="E2" s="74">
        <v>5559</v>
      </c>
      <c r="F2" s="74">
        <v>3150</v>
      </c>
      <c r="G2" s="74">
        <v>89700</v>
      </c>
      <c r="H2" s="74">
        <v>585000</v>
      </c>
      <c r="I2" s="74">
        <v>-156000</v>
      </c>
      <c r="J2" s="74">
        <v>13260</v>
      </c>
      <c r="K2" s="74">
        <v>-5304</v>
      </c>
      <c r="L2" s="74">
        <v>4857</v>
      </c>
      <c r="M2" s="75"/>
      <c r="N2" s="74">
        <v>8517</v>
      </c>
      <c r="O2" s="74">
        <v>8385</v>
      </c>
      <c r="P2" s="74">
        <v>5700</v>
      </c>
      <c r="Q2" s="74">
        <v>1974</v>
      </c>
      <c r="R2" s="74">
        <v>2451</v>
      </c>
      <c r="S2" s="74">
        <v>390000</v>
      </c>
      <c r="T2" s="74">
        <v>221511</v>
      </c>
    </row>
    <row r="3" spans="1:21" ht="56" x14ac:dyDescent="0.35">
      <c r="A3" s="76" t="s">
        <v>179</v>
      </c>
      <c r="B3" s="76" t="s">
        <v>180</v>
      </c>
      <c r="C3" s="76" t="s">
        <v>181</v>
      </c>
      <c r="D3" s="76" t="s">
        <v>182</v>
      </c>
      <c r="E3" s="76" t="s">
        <v>183</v>
      </c>
      <c r="F3" s="76" t="s">
        <v>184</v>
      </c>
      <c r="G3" s="76" t="s">
        <v>171</v>
      </c>
      <c r="H3" s="76" t="s">
        <v>172</v>
      </c>
      <c r="I3" s="76" t="s">
        <v>185</v>
      </c>
      <c r="J3" s="76" t="s">
        <v>71</v>
      </c>
      <c r="K3" s="76" t="s">
        <v>186</v>
      </c>
      <c r="L3" s="76" t="s">
        <v>187</v>
      </c>
      <c r="M3" s="77"/>
      <c r="N3" s="76" t="s">
        <v>140</v>
      </c>
      <c r="O3" s="76" t="s">
        <v>173</v>
      </c>
      <c r="P3" s="76" t="s">
        <v>174</v>
      </c>
      <c r="Q3" s="76" t="s">
        <v>175</v>
      </c>
      <c r="R3" s="76" t="s">
        <v>188</v>
      </c>
      <c r="S3" s="76" t="s">
        <v>189</v>
      </c>
      <c r="T3" s="76" t="s">
        <v>190</v>
      </c>
    </row>
    <row r="4" spans="1:21" x14ac:dyDescent="0.35">
      <c r="A4" s="72">
        <v>44420</v>
      </c>
      <c r="M4" s="78"/>
      <c r="R4" s="72"/>
      <c r="T4" s="72">
        <f>A4</f>
        <v>44420</v>
      </c>
      <c r="U4" s="35" t="s">
        <v>191</v>
      </c>
    </row>
    <row r="5" spans="1:21" x14ac:dyDescent="0.35">
      <c r="A5" s="72">
        <v>21798</v>
      </c>
      <c r="B5" s="72">
        <f>-A5</f>
        <v>-21798</v>
      </c>
      <c r="M5" s="78"/>
      <c r="R5" s="72"/>
    </row>
    <row r="6" spans="1:21" x14ac:dyDescent="0.35">
      <c r="B6" s="72">
        <f>B27</f>
        <v>26505</v>
      </c>
      <c r="M6" s="78"/>
      <c r="R6" s="72"/>
      <c r="T6" s="72">
        <f>B6</f>
        <v>26505</v>
      </c>
      <c r="U6" s="35" t="s">
        <v>192</v>
      </c>
    </row>
    <row r="7" spans="1:21" x14ac:dyDescent="0.35">
      <c r="A7" s="72">
        <v>11700</v>
      </c>
      <c r="C7" s="72">
        <f>-A7</f>
        <v>-11700</v>
      </c>
      <c r="M7" s="78"/>
      <c r="R7" s="72"/>
    </row>
    <row r="8" spans="1:21" x14ac:dyDescent="0.35">
      <c r="A8" s="72">
        <v>20865</v>
      </c>
      <c r="M8" s="78"/>
      <c r="O8" s="72">
        <f>A8</f>
        <v>20865</v>
      </c>
      <c r="R8" s="72"/>
    </row>
    <row r="9" spans="1:21" x14ac:dyDescent="0.35">
      <c r="A9" s="72">
        <f>-J9</f>
        <v>-23400</v>
      </c>
      <c r="J9" s="72">
        <v>23400</v>
      </c>
      <c r="M9" s="78"/>
      <c r="R9" s="72"/>
    </row>
    <row r="10" spans="1:21" x14ac:dyDescent="0.35">
      <c r="A10" s="72">
        <f>-L10</f>
        <v>-408</v>
      </c>
      <c r="L10" s="72">
        <v>408</v>
      </c>
      <c r="M10" s="78"/>
      <c r="R10" s="72"/>
    </row>
    <row r="11" spans="1:21" x14ac:dyDescent="0.35">
      <c r="A11" s="72">
        <f>-D11</f>
        <v>-14715</v>
      </c>
      <c r="D11" s="72">
        <v>14715</v>
      </c>
      <c r="M11" s="78"/>
      <c r="R11" s="72"/>
    </row>
    <row r="12" spans="1:21" x14ac:dyDescent="0.35">
      <c r="A12" s="72">
        <v>-8517</v>
      </c>
      <c r="M12" s="78"/>
      <c r="N12" s="72">
        <f>A12</f>
        <v>-8517</v>
      </c>
      <c r="R12" s="72"/>
    </row>
    <row r="13" spans="1:21" x14ac:dyDescent="0.35">
      <c r="D13" s="72">
        <f>N13</f>
        <v>21315</v>
      </c>
      <c r="M13" s="78"/>
      <c r="N13" s="72">
        <f>N27</f>
        <v>21315</v>
      </c>
      <c r="R13" s="72"/>
    </row>
    <row r="14" spans="1:21" x14ac:dyDescent="0.35">
      <c r="D14" s="72">
        <f>-(SUM(D2:D13)-D27)</f>
        <v>-39345</v>
      </c>
      <c r="M14" s="78"/>
      <c r="R14" s="72"/>
      <c r="T14" s="72">
        <f>D14</f>
        <v>-39345</v>
      </c>
      <c r="U14" s="35" t="s">
        <v>193</v>
      </c>
    </row>
    <row r="15" spans="1:21" x14ac:dyDescent="0.35">
      <c r="A15" s="72">
        <f>-E15</f>
        <v>-1671</v>
      </c>
      <c r="E15" s="72">
        <v>1671</v>
      </c>
      <c r="M15" s="78"/>
      <c r="R15" s="72"/>
    </row>
    <row r="16" spans="1:21" x14ac:dyDescent="0.35">
      <c r="A16" s="72">
        <v>-5660</v>
      </c>
      <c r="M16" s="78"/>
      <c r="Q16" s="72">
        <f>-Q2</f>
        <v>-1974</v>
      </c>
      <c r="R16" s="72"/>
      <c r="T16" s="72">
        <f>A16-Q16</f>
        <v>-3686</v>
      </c>
      <c r="U16" s="35" t="s">
        <v>194</v>
      </c>
    </row>
    <row r="17" spans="1:21" x14ac:dyDescent="0.35">
      <c r="M17" s="78"/>
      <c r="Q17" s="72">
        <f>Q27</f>
        <v>2202</v>
      </c>
      <c r="R17" s="72"/>
      <c r="T17" s="72">
        <f>-Q17</f>
        <v>-2202</v>
      </c>
      <c r="U17" s="35" t="s">
        <v>194</v>
      </c>
    </row>
    <row r="18" spans="1:21" s="35" customFormat="1" x14ac:dyDescent="0.35">
      <c r="A18" s="72">
        <v>-900</v>
      </c>
      <c r="B18" s="72"/>
      <c r="C18" s="72"/>
      <c r="D18" s="72"/>
      <c r="E18" s="72"/>
      <c r="F18" s="72"/>
      <c r="G18" s="72"/>
      <c r="H18" s="72"/>
      <c r="I18" s="72"/>
      <c r="J18" s="72"/>
      <c r="K18" s="72"/>
      <c r="L18" s="72"/>
      <c r="M18" s="78"/>
      <c r="N18" s="72"/>
      <c r="O18" s="72"/>
      <c r="P18" s="72"/>
      <c r="Q18" s="72"/>
      <c r="R18" s="72"/>
      <c r="S18" s="72"/>
      <c r="T18" s="72">
        <f>A18</f>
        <v>-900</v>
      </c>
      <c r="U18" s="35" t="s">
        <v>195</v>
      </c>
    </row>
    <row r="19" spans="1:21" x14ac:dyDescent="0.35">
      <c r="A19" s="72">
        <v>-135</v>
      </c>
      <c r="M19" s="78"/>
      <c r="R19" s="72"/>
      <c r="T19" s="72">
        <f>A19</f>
        <v>-135</v>
      </c>
      <c r="U19" s="35" t="s">
        <v>196</v>
      </c>
    </row>
    <row r="20" spans="1:21" x14ac:dyDescent="0.35">
      <c r="E20" s="72">
        <f>-(SUM(E2:E15)-E27)</f>
        <v>-600</v>
      </c>
      <c r="M20" s="78"/>
      <c r="R20" s="72"/>
      <c r="T20" s="72">
        <f>E20</f>
        <v>-600</v>
      </c>
      <c r="U20" s="35" t="s">
        <v>197</v>
      </c>
    </row>
    <row r="21" spans="1:21" x14ac:dyDescent="0.35">
      <c r="F21" s="72">
        <f>-(F2-F27)</f>
        <v>-324</v>
      </c>
      <c r="M21" s="78"/>
      <c r="R21" s="72"/>
      <c r="T21" s="72">
        <f>F21</f>
        <v>-324</v>
      </c>
      <c r="U21" s="35" t="s">
        <v>198</v>
      </c>
    </row>
    <row r="22" spans="1:21" x14ac:dyDescent="0.35">
      <c r="I22" s="72">
        <f>-(I2-I27)</f>
        <v>-1950</v>
      </c>
      <c r="M22" s="78"/>
      <c r="R22" s="72"/>
      <c r="T22" s="72">
        <f>I22</f>
        <v>-1950</v>
      </c>
      <c r="U22" s="35" t="s">
        <v>199</v>
      </c>
    </row>
    <row r="23" spans="1:21" x14ac:dyDescent="0.35">
      <c r="K23" s="72">
        <f>-(K2-K27)</f>
        <v>-624</v>
      </c>
      <c r="M23" s="78"/>
      <c r="R23" s="72"/>
      <c r="T23" s="72">
        <f>K23</f>
        <v>-624</v>
      </c>
      <c r="U23" s="35" t="s">
        <v>200</v>
      </c>
    </row>
    <row r="24" spans="1:21" x14ac:dyDescent="0.35">
      <c r="M24" s="78"/>
      <c r="P24" s="72">
        <f>P27-P2</f>
        <v>1524</v>
      </c>
      <c r="R24" s="72"/>
      <c r="T24" s="72">
        <f>-P24</f>
        <v>-1524</v>
      </c>
      <c r="U24" s="35" t="s">
        <v>201</v>
      </c>
    </row>
    <row r="25" spans="1:21" x14ac:dyDescent="0.35">
      <c r="M25" s="78"/>
      <c r="R25" s="72"/>
    </row>
    <row r="26" spans="1:21" x14ac:dyDescent="0.35">
      <c r="A26" s="72">
        <v>-11700</v>
      </c>
      <c r="M26" s="78"/>
      <c r="R26" s="72"/>
      <c r="T26" s="72">
        <f>A26</f>
        <v>-11700</v>
      </c>
      <c r="U26" s="79" t="s">
        <v>202</v>
      </c>
    </row>
    <row r="27" spans="1:21" x14ac:dyDescent="0.35">
      <c r="A27" s="80">
        <v>66660</v>
      </c>
      <c r="B27" s="80">
        <v>26505</v>
      </c>
      <c r="C27" s="80">
        <v>0</v>
      </c>
      <c r="D27" s="80">
        <v>26520</v>
      </c>
      <c r="E27" s="80">
        <v>6630</v>
      </c>
      <c r="F27" s="80">
        <v>2826</v>
      </c>
      <c r="G27" s="80">
        <v>89700</v>
      </c>
      <c r="H27" s="80">
        <v>585000</v>
      </c>
      <c r="I27" s="80">
        <v>-157950</v>
      </c>
      <c r="J27" s="80">
        <v>36660</v>
      </c>
      <c r="K27" s="80">
        <v>-5928</v>
      </c>
      <c r="L27" s="80">
        <v>5265</v>
      </c>
      <c r="M27" s="78"/>
      <c r="N27" s="80">
        <v>21315</v>
      </c>
      <c r="O27" s="80">
        <v>29250</v>
      </c>
      <c r="P27" s="80">
        <v>7224</v>
      </c>
      <c r="Q27" s="80">
        <v>2202</v>
      </c>
      <c r="R27" s="80">
        <v>2451</v>
      </c>
      <c r="S27" s="80">
        <v>390000</v>
      </c>
      <c r="T27" s="80">
        <v>229446</v>
      </c>
    </row>
    <row r="29" spans="1:21" x14ac:dyDescent="0.35">
      <c r="A29" s="72">
        <f>SUM(A2:A26)</f>
        <v>66660</v>
      </c>
      <c r="B29" s="72">
        <f t="shared" ref="B29:T29" si="0">SUM(B2:B26)</f>
        <v>26505</v>
      </c>
      <c r="C29" s="72">
        <f t="shared" si="0"/>
        <v>0</v>
      </c>
      <c r="D29" s="72">
        <f t="shared" si="0"/>
        <v>26520</v>
      </c>
      <c r="E29" s="72">
        <f t="shared" si="0"/>
        <v>6630</v>
      </c>
      <c r="F29" s="72">
        <f t="shared" si="0"/>
        <v>2826</v>
      </c>
      <c r="G29" s="72">
        <f t="shared" si="0"/>
        <v>89700</v>
      </c>
      <c r="H29" s="72">
        <f t="shared" si="0"/>
        <v>585000</v>
      </c>
      <c r="I29" s="72">
        <f>SUM(I2:I26)</f>
        <v>-157950</v>
      </c>
      <c r="J29" s="72">
        <f t="shared" si="0"/>
        <v>36660</v>
      </c>
      <c r="K29" s="72">
        <f t="shared" si="0"/>
        <v>-5928</v>
      </c>
      <c r="L29" s="72">
        <f t="shared" si="0"/>
        <v>5265</v>
      </c>
      <c r="M29" s="72">
        <f t="shared" si="0"/>
        <v>0</v>
      </c>
      <c r="N29" s="72">
        <f t="shared" si="0"/>
        <v>21315</v>
      </c>
      <c r="O29" s="72">
        <f t="shared" si="0"/>
        <v>29250</v>
      </c>
      <c r="P29" s="72">
        <f t="shared" si="0"/>
        <v>7224</v>
      </c>
      <c r="Q29" s="72">
        <f t="shared" si="0"/>
        <v>2202</v>
      </c>
      <c r="R29" s="72">
        <f t="shared" si="0"/>
        <v>2451</v>
      </c>
      <c r="S29" s="72">
        <f t="shared" si="0"/>
        <v>390000</v>
      </c>
      <c r="T29" s="72">
        <f t="shared" si="0"/>
        <v>229446</v>
      </c>
    </row>
    <row r="31" spans="1:21" x14ac:dyDescent="0.35">
      <c r="A31" s="35" t="s">
        <v>203</v>
      </c>
    </row>
    <row r="33" spans="1:11" x14ac:dyDescent="0.35">
      <c r="A33" s="35" t="s">
        <v>118</v>
      </c>
      <c r="B33" s="35"/>
      <c r="C33" s="35"/>
      <c r="D33" s="35"/>
      <c r="E33" s="35"/>
      <c r="F33" s="35"/>
      <c r="G33" s="35"/>
      <c r="H33" s="35"/>
      <c r="I33" s="35"/>
      <c r="J33" s="35"/>
      <c r="K33" s="35"/>
    </row>
    <row r="34" spans="1:11" x14ac:dyDescent="0.35">
      <c r="A34" s="35" t="s">
        <v>119</v>
      </c>
      <c r="B34" s="35"/>
      <c r="C34" s="35"/>
      <c r="D34" s="35"/>
      <c r="E34" s="35"/>
      <c r="F34" s="35"/>
      <c r="G34" s="35"/>
      <c r="H34" s="35"/>
      <c r="I34" s="35"/>
      <c r="J34" s="35"/>
      <c r="K34" s="35"/>
    </row>
    <row r="35" spans="1:11" x14ac:dyDescent="0.35">
      <c r="A35" s="59" t="s">
        <v>204</v>
      </c>
      <c r="B35" s="35"/>
      <c r="C35" s="35"/>
      <c r="D35" s="35"/>
      <c r="E35" s="35"/>
      <c r="F35" s="35"/>
      <c r="G35" s="35"/>
      <c r="H35" s="35"/>
      <c r="I35" s="35"/>
      <c r="J35" s="35"/>
      <c r="K35" s="35"/>
    </row>
    <row r="36" spans="1:11" x14ac:dyDescent="0.35">
      <c r="A36" s="59" t="s">
        <v>151</v>
      </c>
      <c r="B36" s="35"/>
      <c r="C36" s="35"/>
      <c r="D36" s="35"/>
      <c r="E36" s="35"/>
      <c r="F36" s="35"/>
      <c r="G36" s="35"/>
      <c r="H36" s="35"/>
      <c r="I36" s="35"/>
      <c r="J36" s="35"/>
      <c r="K36" s="35"/>
    </row>
    <row r="37" spans="1:11" x14ac:dyDescent="0.35">
      <c r="A37" s="35" t="s">
        <v>120</v>
      </c>
      <c r="B37" s="35"/>
      <c r="C37" s="35">
        <v>70925</v>
      </c>
      <c r="D37" s="35"/>
      <c r="E37" s="35"/>
      <c r="F37" s="35"/>
      <c r="G37" s="35"/>
      <c r="H37" s="35"/>
      <c r="I37" s="35"/>
      <c r="J37" s="35"/>
      <c r="K37" s="35"/>
    </row>
    <row r="38" spans="1:11" x14ac:dyDescent="0.35">
      <c r="A38" s="35" t="s">
        <v>121</v>
      </c>
      <c r="B38" s="35"/>
      <c r="C38" s="35">
        <v>39345</v>
      </c>
      <c r="D38" s="64" t="s">
        <v>207</v>
      </c>
      <c r="E38" s="35"/>
      <c r="F38" s="35"/>
      <c r="G38" s="35"/>
      <c r="H38" s="35"/>
      <c r="I38" s="35"/>
      <c r="J38" s="35"/>
      <c r="K38" s="35"/>
    </row>
    <row r="39" spans="1:11" x14ac:dyDescent="0.35">
      <c r="A39" s="35" t="s">
        <v>22</v>
      </c>
      <c r="B39" s="35"/>
      <c r="C39" s="35">
        <v>31580</v>
      </c>
      <c r="D39" s="35"/>
      <c r="E39" s="35"/>
      <c r="F39" s="35"/>
      <c r="G39" s="35"/>
      <c r="H39" s="35"/>
      <c r="I39" s="35"/>
      <c r="J39" s="35"/>
      <c r="K39" s="35"/>
    </row>
    <row r="40" spans="1:11" x14ac:dyDescent="0.35">
      <c r="A40" s="35" t="s">
        <v>7</v>
      </c>
      <c r="B40" s="35"/>
      <c r="C40" s="35"/>
      <c r="D40" s="35"/>
      <c r="E40" s="35"/>
      <c r="F40" s="35"/>
      <c r="G40" s="35"/>
      <c r="H40" s="35"/>
      <c r="I40" s="35"/>
      <c r="J40" s="35"/>
      <c r="K40" s="35"/>
    </row>
    <row r="41" spans="1:11" x14ac:dyDescent="0.35">
      <c r="A41" s="35" t="s">
        <v>122</v>
      </c>
      <c r="B41" s="35">
        <v>5888</v>
      </c>
      <c r="C41" s="35"/>
      <c r="D41" s="35"/>
      <c r="E41" s="35"/>
      <c r="F41" s="35"/>
      <c r="G41" s="35"/>
      <c r="H41" s="35"/>
      <c r="I41" s="35"/>
      <c r="J41" s="35"/>
      <c r="K41" s="35"/>
    </row>
    <row r="42" spans="1:11" x14ac:dyDescent="0.35">
      <c r="A42" s="35" t="s">
        <v>110</v>
      </c>
      <c r="B42" s="35">
        <v>900</v>
      </c>
      <c r="C42" s="35"/>
      <c r="D42" s="35"/>
      <c r="E42" s="35"/>
      <c r="F42" s="35"/>
      <c r="G42" s="35"/>
      <c r="H42" s="35"/>
      <c r="I42" s="35"/>
      <c r="J42" s="35"/>
      <c r="K42" s="35"/>
    </row>
    <row r="43" spans="1:11" x14ac:dyDescent="0.35">
      <c r="A43" s="35" t="s">
        <v>123</v>
      </c>
      <c r="B43" s="35">
        <v>600</v>
      </c>
      <c r="C43" s="35"/>
      <c r="D43" s="35"/>
      <c r="E43" s="35"/>
      <c r="F43" s="35"/>
      <c r="G43" s="35"/>
      <c r="H43" s="35"/>
      <c r="I43" s="35"/>
      <c r="J43" s="35"/>
      <c r="K43" s="35"/>
    </row>
    <row r="44" spans="1:11" x14ac:dyDescent="0.35">
      <c r="A44" s="35" t="s">
        <v>124</v>
      </c>
      <c r="B44" s="35">
        <v>324</v>
      </c>
      <c r="C44" s="35"/>
      <c r="D44" s="35"/>
      <c r="E44" s="35"/>
      <c r="F44" s="35"/>
      <c r="G44" s="35"/>
      <c r="H44" s="35"/>
      <c r="I44" s="35"/>
      <c r="J44" s="35"/>
      <c r="K44" s="35"/>
    </row>
    <row r="45" spans="1:11" x14ac:dyDescent="0.35">
      <c r="A45" s="35" t="s">
        <v>125</v>
      </c>
      <c r="B45" s="35">
        <v>2574</v>
      </c>
      <c r="C45" s="35"/>
      <c r="D45" s="35"/>
      <c r="E45" s="35"/>
      <c r="F45" s="35"/>
      <c r="G45" s="35"/>
      <c r="H45" s="35"/>
      <c r="I45" s="35"/>
      <c r="J45" s="35"/>
      <c r="K45" s="35"/>
    </row>
    <row r="46" spans="1:11" x14ac:dyDescent="0.35">
      <c r="A46" s="35" t="s">
        <v>126</v>
      </c>
      <c r="B46" s="35">
        <v>135</v>
      </c>
      <c r="C46" s="35">
        <v>10421</v>
      </c>
      <c r="D46" s="35"/>
      <c r="E46" s="35"/>
      <c r="F46" s="35"/>
      <c r="G46" s="35"/>
      <c r="H46" s="35"/>
      <c r="I46" s="35"/>
      <c r="J46" s="35"/>
      <c r="K46" s="35"/>
    </row>
    <row r="47" spans="1:11" x14ac:dyDescent="0.35">
      <c r="A47" s="35" t="s">
        <v>127</v>
      </c>
      <c r="B47" s="35"/>
      <c r="C47" s="35">
        <v>21159</v>
      </c>
      <c r="D47" s="35"/>
      <c r="E47" s="35"/>
      <c r="F47" s="35"/>
      <c r="G47" s="35"/>
      <c r="H47" s="35"/>
      <c r="I47" s="35"/>
      <c r="J47" s="35"/>
      <c r="K47" s="35"/>
    </row>
    <row r="48" spans="1:11" x14ac:dyDescent="0.35">
      <c r="A48" s="35" t="s">
        <v>205</v>
      </c>
      <c r="B48" s="35"/>
      <c r="C48" s="35">
        <v>1524</v>
      </c>
      <c r="D48" s="35"/>
      <c r="E48" s="35"/>
      <c r="F48" s="35"/>
      <c r="G48" s="35"/>
      <c r="H48" s="35"/>
      <c r="I48" s="35"/>
      <c r="J48" s="35"/>
      <c r="K48" s="35"/>
    </row>
    <row r="49" spans="1:11" x14ac:dyDescent="0.35">
      <c r="A49" s="35" t="s">
        <v>97</v>
      </c>
      <c r="B49" s="35"/>
      <c r="C49" s="35">
        <v>19635</v>
      </c>
      <c r="D49" s="35"/>
      <c r="E49" s="35"/>
      <c r="F49" s="35"/>
      <c r="G49" s="35"/>
      <c r="H49" s="35"/>
      <c r="I49" s="35"/>
      <c r="J49" s="35"/>
      <c r="K49" s="35"/>
    </row>
    <row r="50" spans="1:11" x14ac:dyDescent="0.35">
      <c r="A50" s="35" t="s">
        <v>128</v>
      </c>
      <c r="B50" s="35"/>
      <c r="C50" s="35">
        <v>11700</v>
      </c>
      <c r="D50" s="35"/>
      <c r="E50" s="35"/>
      <c r="F50" s="35"/>
      <c r="G50" s="35"/>
      <c r="H50" s="35"/>
      <c r="I50" s="35"/>
      <c r="J50" s="35"/>
      <c r="K50" s="35"/>
    </row>
    <row r="51" spans="1:11" x14ac:dyDescent="0.35">
      <c r="A51" s="35" t="s">
        <v>129</v>
      </c>
      <c r="B51" s="35"/>
      <c r="C51" s="35">
        <v>7935</v>
      </c>
      <c r="D51" s="35"/>
      <c r="E51" s="35"/>
      <c r="F51" s="35"/>
      <c r="G51" s="35"/>
      <c r="H51" s="35"/>
      <c r="I51" s="35"/>
      <c r="J51" s="35"/>
      <c r="K51" s="35"/>
    </row>
    <row r="52" spans="1:11" x14ac:dyDescent="0.35">
      <c r="A52" s="35"/>
      <c r="B52" s="35"/>
      <c r="C52" s="35"/>
      <c r="D52" s="35"/>
      <c r="E52" s="35"/>
      <c r="F52" s="35"/>
      <c r="G52" s="35"/>
      <c r="H52" s="35"/>
      <c r="I52" s="35"/>
      <c r="J52" s="35"/>
      <c r="K52" s="35"/>
    </row>
    <row r="53" spans="1:11" x14ac:dyDescent="0.35">
      <c r="A53" s="35" t="s">
        <v>130</v>
      </c>
      <c r="B53" s="35"/>
      <c r="C53" s="35"/>
      <c r="D53" s="35"/>
      <c r="E53" s="35"/>
      <c r="F53" s="35"/>
      <c r="G53" s="35"/>
      <c r="H53" s="35"/>
      <c r="I53" s="35"/>
      <c r="J53" s="35"/>
      <c r="K53" s="35"/>
    </row>
    <row r="54" spans="1:11" x14ac:dyDescent="0.35">
      <c r="A54" s="35"/>
      <c r="B54" s="35"/>
      <c r="C54" s="35"/>
      <c r="D54" s="35"/>
      <c r="E54" s="35"/>
      <c r="F54" s="35"/>
      <c r="G54" s="35"/>
      <c r="H54" s="35"/>
      <c r="I54" s="35"/>
      <c r="J54" s="35"/>
      <c r="K54" s="35"/>
    </row>
    <row r="55" spans="1:11" x14ac:dyDescent="0.35">
      <c r="A55" s="35" t="s">
        <v>131</v>
      </c>
      <c r="B55" s="35">
        <v>14715</v>
      </c>
      <c r="C55" s="35"/>
      <c r="D55" s="35"/>
      <c r="E55" s="35"/>
      <c r="F55" s="35"/>
      <c r="G55" s="35"/>
      <c r="H55" s="35"/>
      <c r="I55" s="35"/>
      <c r="J55" s="35"/>
      <c r="K55" s="35"/>
    </row>
    <row r="56" spans="1:11" x14ac:dyDescent="0.35">
      <c r="A56" s="35" t="s">
        <v>132</v>
      </c>
      <c r="B56" s="35">
        <v>21315</v>
      </c>
      <c r="C56" s="35"/>
      <c r="D56" s="35"/>
      <c r="E56" s="35"/>
      <c r="F56" s="35"/>
      <c r="G56" s="35"/>
      <c r="H56" s="35"/>
      <c r="I56" s="35"/>
      <c r="J56" s="35"/>
      <c r="K56" s="35"/>
    </row>
    <row r="57" spans="1:11" x14ac:dyDescent="0.35">
      <c r="A57" s="35" t="s">
        <v>133</v>
      </c>
      <c r="B57" s="35">
        <v>29835</v>
      </c>
      <c r="C57" s="35"/>
      <c r="D57" s="35"/>
      <c r="E57" s="35"/>
      <c r="F57" s="35"/>
      <c r="G57" s="35"/>
      <c r="H57" s="35"/>
      <c r="I57" s="35"/>
      <c r="J57" s="35"/>
      <c r="K57" s="35"/>
    </row>
    <row r="58" spans="1:11" x14ac:dyDescent="0.35">
      <c r="A58" s="35" t="s">
        <v>134</v>
      </c>
      <c r="B58" s="35">
        <v>65865</v>
      </c>
      <c r="C58" s="35"/>
      <c r="D58" s="35"/>
      <c r="E58" s="35"/>
      <c r="F58" s="35"/>
      <c r="G58" s="35"/>
      <c r="H58" s="35"/>
      <c r="I58" s="35"/>
      <c r="J58" s="35"/>
      <c r="K58" s="35"/>
    </row>
    <row r="59" spans="1:11" x14ac:dyDescent="0.35">
      <c r="A59" s="35" t="s">
        <v>135</v>
      </c>
      <c r="B59" s="35">
        <v>26520</v>
      </c>
      <c r="C59" s="35"/>
      <c r="D59" s="35"/>
      <c r="E59" s="35"/>
      <c r="F59" s="35"/>
      <c r="G59" s="35"/>
      <c r="H59" s="35"/>
      <c r="I59" s="35"/>
      <c r="J59" s="35"/>
      <c r="K59" s="35"/>
    </row>
    <row r="60" spans="1:11" x14ac:dyDescent="0.35">
      <c r="A60" s="35" t="s">
        <v>136</v>
      </c>
      <c r="B60" s="35">
        <v>39345</v>
      </c>
      <c r="C60" s="35"/>
      <c r="D60" s="35"/>
      <c r="E60" s="35"/>
      <c r="F60" s="35"/>
      <c r="G60" s="35"/>
      <c r="H60" s="35"/>
      <c r="I60" s="35"/>
      <c r="J60" s="35"/>
      <c r="K60" s="35"/>
    </row>
    <row r="61" spans="1:11" x14ac:dyDescent="0.35">
      <c r="A61" s="35"/>
      <c r="B61" s="35"/>
      <c r="C61" s="35"/>
      <c r="D61" s="35"/>
      <c r="E61" s="35"/>
      <c r="F61" s="35"/>
      <c r="G61" s="35"/>
      <c r="H61" s="35"/>
      <c r="I61" s="35"/>
      <c r="J61" s="35"/>
      <c r="K61" s="35"/>
    </row>
    <row r="62" spans="1:11" x14ac:dyDescent="0.35">
      <c r="A62" s="35" t="s">
        <v>137</v>
      </c>
      <c r="B62" s="35"/>
      <c r="C62" s="35"/>
      <c r="D62" s="35"/>
      <c r="E62" s="35"/>
      <c r="F62" s="35"/>
      <c r="G62" s="35"/>
      <c r="H62" s="35"/>
      <c r="I62" s="35"/>
      <c r="J62" s="35"/>
      <c r="K62" s="35"/>
    </row>
    <row r="63" spans="1:11" x14ac:dyDescent="0.35">
      <c r="A63" s="35"/>
      <c r="B63" s="35"/>
      <c r="C63" s="35"/>
      <c r="D63" s="35"/>
      <c r="E63" s="35"/>
      <c r="F63" s="35"/>
      <c r="G63" s="35"/>
      <c r="H63" s="35"/>
      <c r="I63" s="35"/>
      <c r="J63" s="35"/>
      <c r="K63" s="35"/>
    </row>
    <row r="64" spans="1:11" x14ac:dyDescent="0.35">
      <c r="A64" s="35" t="s">
        <v>138</v>
      </c>
      <c r="B64" s="35"/>
      <c r="C64" s="35"/>
      <c r="D64" s="35"/>
      <c r="E64" s="35"/>
      <c r="F64" s="35"/>
      <c r="G64" s="35"/>
      <c r="H64" s="35"/>
      <c r="I64" s="35"/>
      <c r="J64" s="35"/>
      <c r="K64" s="35"/>
    </row>
    <row r="65" spans="1:11" x14ac:dyDescent="0.35">
      <c r="A65" s="35"/>
      <c r="B65" s="35"/>
      <c r="C65" s="35"/>
      <c r="D65" s="35"/>
      <c r="E65" s="35"/>
      <c r="F65" s="35"/>
      <c r="G65" s="35"/>
      <c r="H65" s="35"/>
      <c r="I65" s="35"/>
      <c r="J65" s="35"/>
      <c r="K65" s="35"/>
    </row>
    <row r="66" spans="1:11" x14ac:dyDescent="0.35">
      <c r="A66" s="35" t="s">
        <v>139</v>
      </c>
      <c r="B66" s="35"/>
      <c r="C66" s="35"/>
      <c r="D66" s="35"/>
      <c r="E66" s="35"/>
      <c r="F66" s="35"/>
      <c r="G66" s="35"/>
      <c r="H66" s="35"/>
      <c r="I66" s="35"/>
      <c r="J66" s="35"/>
      <c r="K66" s="35"/>
    </row>
    <row r="67" spans="1:11" x14ac:dyDescent="0.35">
      <c r="A67" s="35" t="s">
        <v>206</v>
      </c>
      <c r="B67" s="35"/>
      <c r="C67" s="35"/>
      <c r="D67" s="35"/>
      <c r="E67" s="35"/>
      <c r="F67" s="35"/>
      <c r="G67" s="35"/>
      <c r="H67" s="35"/>
      <c r="I67" s="35"/>
      <c r="J67" s="35"/>
      <c r="K67" s="35"/>
    </row>
  </sheetData>
  <mergeCells count="3">
    <mergeCell ref="A1:L1"/>
    <mergeCell ref="N1:R1"/>
    <mergeCell ref="S1:T1"/>
  </mergeCells>
  <conditionalFormatting sqref="Z4 X3 W6:Y8 R4:U4 R5:Z5 W4:X4">
    <cfRule type="cellIs" dxfId="4" priority="7" operator="lessThan">
      <formula>0</formula>
    </cfRule>
  </conditionalFormatting>
  <conditionalFormatting sqref="Z9">
    <cfRule type="cellIs" dxfId="3" priority="6" operator="lessThan">
      <formula>0</formula>
    </cfRule>
  </conditionalFormatting>
  <conditionalFormatting sqref="Y4">
    <cfRule type="cellIs" dxfId="2" priority="4" operator="lessThan">
      <formula>0</formula>
    </cfRule>
  </conditionalFormatting>
  <conditionalFormatting sqref="V4">
    <cfRule type="cellIs" dxfId="1" priority="1" operator="lessThan">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Q-1</vt:lpstr>
      <vt:lpstr>Q-2</vt:lpstr>
      <vt:lpstr>Q-3</vt:lpstr>
      <vt:lpstr>Q-4</vt:lpstr>
      <vt:lpstr>Q-5</vt:lpstr>
      <vt:lpstr>Q-6</vt:lpstr>
      <vt:lpstr>Q-7</vt:lpstr>
      <vt:lpstr>Q-8</vt:lpstr>
      <vt:lpstr>Case 3‑1 Maynard Company (B)</vt:lpstr>
      <vt:lpstr>Case 3-3 Dispensers of Californ</vt:lpstr>
      <vt:lpstr>Case 3‑4 Pinetree Motel</vt:lpstr>
      <vt:lpstr>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Neerav</cp:lastModifiedBy>
  <cp:lastPrinted>2020-03-28T09:03:39Z</cp:lastPrinted>
  <dcterms:created xsi:type="dcterms:W3CDTF">2020-03-28T07:37:42Z</dcterms:created>
  <dcterms:modified xsi:type="dcterms:W3CDTF">2020-05-22T06:01:31Z</dcterms:modified>
</cp:coreProperties>
</file>