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eerav\Official\Classes\FRA\AHM Chapter 1-3 Solutions\"/>
    </mc:Choice>
  </mc:AlternateContent>
  <xr:revisionPtr revIDLastSave="0" documentId="13_ncr:1_{CFA2DA55-D08F-42EC-A520-44BB625B3453}" xr6:coauthVersionLast="44" xr6:coauthVersionMax="44" xr10:uidLastSave="{00000000-0000-0000-0000-000000000000}"/>
  <bookViews>
    <workbookView xWindow="-110" yWindow="-110" windowWidth="19420" windowHeight="10560" tabRatio="878" xr2:uid="{00000000-000D-0000-FFFF-FFFF00000000}"/>
  </bookViews>
  <sheets>
    <sheet name="Q-1" sheetId="2" r:id="rId1"/>
    <sheet name="Q-2" sheetId="3" r:id="rId2"/>
    <sheet name="Q-3" sheetId="1" r:id="rId3"/>
    <sheet name="Q-4" sheetId="4" r:id="rId4"/>
    <sheet name="Q-5" sheetId="5" r:id="rId5"/>
    <sheet name="Case 11-1 Medieval Adventures " sheetId="6" r:id="rId6"/>
    <sheet name="Case 11-2 Amerbran Company (A)" sheetId="7" r:id="rId7"/>
  </sheets>
  <definedNames>
    <definedName name="_ftn1" localSheetId="6">'Case 11-2 Amerbran Company (A)'!#REF!</definedName>
    <definedName name="_ftnref1" localSheetId="6">'Case 11-2 Amerbran Company (A)'!#REF!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7" l="1"/>
  <c r="L39" i="6"/>
  <c r="K39" i="6"/>
  <c r="J39" i="6"/>
  <c r="I39" i="6"/>
  <c r="H39" i="6"/>
  <c r="G39" i="6"/>
  <c r="D39" i="6"/>
  <c r="J29" i="6"/>
  <c r="F29" i="6"/>
  <c r="E29" i="6"/>
  <c r="D29" i="6"/>
  <c r="C29" i="6"/>
  <c r="F19" i="6"/>
  <c r="G27" i="6" s="1"/>
  <c r="L26" i="6"/>
  <c r="K26" i="6"/>
  <c r="J26" i="6"/>
  <c r="I26" i="6"/>
  <c r="H26" i="6"/>
  <c r="G26" i="6"/>
  <c r="F26" i="6"/>
  <c r="E26" i="6"/>
  <c r="D26" i="6"/>
  <c r="C26" i="6"/>
  <c r="C25" i="6"/>
  <c r="C23" i="6"/>
  <c r="L18" i="6"/>
  <c r="C19" i="5"/>
  <c r="C15" i="5"/>
  <c r="O11" i="6" l="1"/>
  <c r="C63" i="6"/>
  <c r="C47" i="6" l="1"/>
  <c r="G44" i="6"/>
  <c r="C42" i="6"/>
  <c r="C8" i="6" l="1"/>
  <c r="C18" i="6" s="1"/>
  <c r="D8" i="6"/>
  <c r="C9" i="6"/>
  <c r="D9" i="6"/>
  <c r="C10" i="6"/>
  <c r="D10" i="6"/>
  <c r="C11" i="6"/>
  <c r="D11" i="6"/>
  <c r="C12" i="6"/>
  <c r="D12" i="6"/>
  <c r="N11" i="6"/>
  <c r="F11" i="6"/>
  <c r="G11" i="6"/>
  <c r="H11" i="6"/>
  <c r="I11" i="6"/>
  <c r="J11" i="6"/>
  <c r="K11" i="6"/>
  <c r="L11" i="6"/>
  <c r="M11" i="6"/>
  <c r="E11" i="6"/>
  <c r="E9" i="6"/>
  <c r="E8" i="6"/>
  <c r="F6" i="6"/>
  <c r="D18" i="6" l="1"/>
  <c r="D40" i="6"/>
  <c r="E18" i="6"/>
  <c r="E40" i="6"/>
  <c r="E20" i="6"/>
  <c r="D20" i="6"/>
  <c r="C20" i="6"/>
  <c r="C28" i="6" s="1"/>
  <c r="E10" i="6"/>
  <c r="E12" i="6" s="1"/>
  <c r="D46" i="6" s="1"/>
  <c r="F8" i="6"/>
  <c r="F9" i="6"/>
  <c r="D41" i="6" s="1"/>
  <c r="G6" i="6"/>
  <c r="C33" i="7"/>
  <c r="B22" i="7"/>
  <c r="B20" i="7"/>
  <c r="B19" i="7"/>
  <c r="B18" i="7"/>
  <c r="B17" i="7"/>
  <c r="B27" i="7"/>
  <c r="C27" i="7" s="1"/>
  <c r="D27" i="6" l="1"/>
  <c r="C22" i="7"/>
  <c r="C37" i="7" s="1"/>
  <c r="C39" i="7" s="1"/>
  <c r="D47" i="6"/>
  <c r="D42" i="6"/>
  <c r="D23" i="6"/>
  <c r="D25" i="6" s="1"/>
  <c r="G9" i="6"/>
  <c r="E41" i="6" s="1"/>
  <c r="F18" i="6"/>
  <c r="F10" i="6"/>
  <c r="F12" i="6" s="1"/>
  <c r="E46" i="6" s="1"/>
  <c r="G8" i="6"/>
  <c r="H6" i="6"/>
  <c r="C23" i="5"/>
  <c r="B5" i="5"/>
  <c r="C25" i="5" l="1"/>
  <c r="C27" i="5" s="1"/>
  <c r="G40" i="6"/>
  <c r="F40" i="6"/>
  <c r="C57" i="6"/>
  <c r="E47" i="6"/>
  <c r="F20" i="6"/>
  <c r="D28" i="6"/>
  <c r="H9" i="6"/>
  <c r="F41" i="6" s="1"/>
  <c r="C58" i="6" s="1"/>
  <c r="E23" i="6"/>
  <c r="E25" i="6" s="1"/>
  <c r="G18" i="6"/>
  <c r="G10" i="6"/>
  <c r="G12" i="6" s="1"/>
  <c r="C56" i="6" s="1"/>
  <c r="I6" i="6"/>
  <c r="H8" i="6"/>
  <c r="C18" i="4"/>
  <c r="B21" i="4"/>
  <c r="C22" i="4" s="1"/>
  <c r="B14" i="4"/>
  <c r="B13" i="4"/>
  <c r="B15" i="4"/>
  <c r="B12" i="4"/>
  <c r="C13" i="1"/>
  <c r="C17" i="1"/>
  <c r="C9" i="1"/>
  <c r="B7" i="2"/>
  <c r="C65" i="6" l="1"/>
  <c r="C15" i="4"/>
  <c r="C24" i="4" s="1"/>
  <c r="C26" i="4" s="1"/>
  <c r="C19" i="1"/>
  <c r="C21" i="1" s="1"/>
  <c r="F46" i="6"/>
  <c r="E27" i="6"/>
  <c r="E39" i="6"/>
  <c r="E42" i="6" s="1"/>
  <c r="H18" i="6"/>
  <c r="H10" i="6"/>
  <c r="H12" i="6" s="1"/>
  <c r="F23" i="6"/>
  <c r="F25" i="6" s="1"/>
  <c r="I9" i="6"/>
  <c r="G41" i="6" s="1"/>
  <c r="J6" i="6"/>
  <c r="I8" i="6"/>
  <c r="H40" i="6" l="1"/>
  <c r="D57" i="6" s="1"/>
  <c r="E28" i="6"/>
  <c r="F39" i="6" s="1"/>
  <c r="F42" i="6" s="1"/>
  <c r="C66" i="6"/>
  <c r="C67" i="6" s="1"/>
  <c r="G46" i="6"/>
  <c r="F47" i="6"/>
  <c r="J9" i="6"/>
  <c r="H41" i="6" s="1"/>
  <c r="D58" i="6" s="1"/>
  <c r="G23" i="6"/>
  <c r="G25" i="6" s="1"/>
  <c r="I18" i="6"/>
  <c r="I10" i="6"/>
  <c r="I12" i="6" s="1"/>
  <c r="D56" i="6" s="1"/>
  <c r="K6" i="6"/>
  <c r="J8" i="6"/>
  <c r="J40" i="6" l="1"/>
  <c r="I40" i="6"/>
  <c r="F27" i="6"/>
  <c r="F28" i="6" s="1"/>
  <c r="G47" i="6"/>
  <c r="H46" i="6"/>
  <c r="H23" i="6"/>
  <c r="H25" i="6" s="1"/>
  <c r="K9" i="6"/>
  <c r="I41" i="6" s="1"/>
  <c r="J18" i="6"/>
  <c r="J10" i="6"/>
  <c r="J12" i="6" s="1"/>
  <c r="L6" i="6"/>
  <c r="K8" i="6"/>
  <c r="D66" i="6" l="1"/>
  <c r="G42" i="6"/>
  <c r="E57" i="6"/>
  <c r="I46" i="6"/>
  <c r="L9" i="6"/>
  <c r="J41" i="6" s="1"/>
  <c r="E58" i="6" s="1"/>
  <c r="I23" i="6"/>
  <c r="I25" i="6" s="1"/>
  <c r="K18" i="6"/>
  <c r="K10" i="6"/>
  <c r="K12" i="6" s="1"/>
  <c r="E56" i="6" s="1"/>
  <c r="M6" i="6"/>
  <c r="L8" i="6"/>
  <c r="K40" i="6" l="1"/>
  <c r="G28" i="6"/>
  <c r="J46" i="6"/>
  <c r="J23" i="6"/>
  <c r="J25" i="6" s="1"/>
  <c r="N6" i="6"/>
  <c r="O6" i="6" s="1"/>
  <c r="M9" i="6"/>
  <c r="K41" i="6" s="1"/>
  <c r="L10" i="6"/>
  <c r="L12" i="6" s="1"/>
  <c r="M8" i="6"/>
  <c r="L40" i="6" s="1"/>
  <c r="G19" i="6" l="1"/>
  <c r="G29" i="6"/>
  <c r="H27" i="6" s="1"/>
  <c r="O8" i="6"/>
  <c r="O9" i="6"/>
  <c r="L23" i="6"/>
  <c r="H42" i="6"/>
  <c r="H28" i="6"/>
  <c r="K46" i="6"/>
  <c r="M10" i="6"/>
  <c r="M12" i="6" s="1"/>
  <c r="N8" i="6"/>
  <c r="N9" i="6"/>
  <c r="L41" i="6" s="1"/>
  <c r="K23" i="6"/>
  <c r="K25" i="6" s="1"/>
  <c r="H44" i="6" l="1"/>
  <c r="G20" i="6"/>
  <c r="H19" i="6"/>
  <c r="H29" i="6" s="1"/>
  <c r="O10" i="6"/>
  <c r="O12" i="6" s="1"/>
  <c r="I42" i="6"/>
  <c r="L46" i="6"/>
  <c r="N10" i="6"/>
  <c r="N12" i="6" s="1"/>
  <c r="D63" i="6" l="1"/>
  <c r="D65" i="6" s="1"/>
  <c r="D67" i="6" s="1"/>
  <c r="H47" i="6"/>
  <c r="I44" i="6"/>
  <c r="H20" i="6"/>
  <c r="I27" i="6"/>
  <c r="I47" i="6" l="1"/>
  <c r="I28" i="6"/>
  <c r="E66" i="6"/>
  <c r="J42" i="6" l="1"/>
  <c r="I19" i="6"/>
  <c r="I29" i="6" s="1"/>
  <c r="I20" i="6" l="1"/>
  <c r="L24" i="6"/>
  <c r="L25" i="6" s="1"/>
  <c r="J44" i="6"/>
  <c r="J27" i="6"/>
  <c r="J28" i="6" s="1"/>
  <c r="J20" i="6" l="1"/>
  <c r="K27" i="6"/>
  <c r="K28" i="6" s="1"/>
  <c r="K29" i="6" s="1"/>
  <c r="K42" i="6"/>
  <c r="K44" i="6"/>
  <c r="E63" i="6"/>
  <c r="E65" i="6" s="1"/>
  <c r="E67" i="6" s="1"/>
  <c r="J47" i="6"/>
  <c r="K20" i="6" l="1"/>
  <c r="L42" i="6"/>
  <c r="L44" i="6"/>
  <c r="L47" i="6" s="1"/>
  <c r="K47" i="6"/>
  <c r="L27" i="6" l="1"/>
  <c r="L28" i="6" s="1"/>
  <c r="L29" i="6" s="1"/>
  <c r="L20" i="6"/>
</calcChain>
</file>

<file path=xl/sharedStrings.xml><?xml version="1.0" encoding="utf-8"?>
<sst xmlns="http://schemas.openxmlformats.org/spreadsheetml/2006/main" count="182" uniqueCount="122">
  <si>
    <t>AMOUNT</t>
  </si>
  <si>
    <t>CASH FLOW FROM OPERATING ACTIVITIES</t>
  </si>
  <si>
    <t>NET INCOME</t>
  </si>
  <si>
    <t>ADD: NON CASH EXPENSES</t>
  </si>
  <si>
    <t>DEPRECIATION</t>
  </si>
  <si>
    <t>ADD: ITEMS BELONGING TO OTHER CATEGORIES</t>
  </si>
  <si>
    <t>ADD/LESS: CHANGES IN OPERATING ASSETS/LIABILITIES</t>
  </si>
  <si>
    <t>INCREASE IN ACCOUNTS RECEIVABLE</t>
  </si>
  <si>
    <t>CASH FLOW FROM INVESTING ACTIVITIES</t>
  </si>
  <si>
    <t>CASH FLOW FROM FINANCING ACTIVITIES</t>
  </si>
  <si>
    <t>CHANGE IN CASH</t>
  </si>
  <si>
    <t>OPENING BALANCE OF CASH</t>
  </si>
  <si>
    <t>CLOSING BALANCE OF CASH</t>
  </si>
  <si>
    <t>Cash generated from sales during the year 2010</t>
  </si>
  <si>
    <t xml:space="preserve">Sales </t>
  </si>
  <si>
    <t>Particulars</t>
  </si>
  <si>
    <t>Amount ($)</t>
  </si>
  <si>
    <t>PURCHASE OF EQUIPMENT</t>
  </si>
  <si>
    <t>CASH SALES</t>
  </si>
  <si>
    <t>LESS: CASH USED IN OPERATION</t>
  </si>
  <si>
    <t>MARCHANDISE PURCHASES</t>
  </si>
  <si>
    <t>WAGES</t>
  </si>
  <si>
    <t>RENT AND LEASE PAYMENTS</t>
  </si>
  <si>
    <t>OTHER OPERATING OUTLAYS</t>
  </si>
  <si>
    <t>CASH FLOW STATEMENT OF LORI CRUMP FOR THE YEAR 2010 (INDIRECT METHOD)</t>
  </si>
  <si>
    <t>INCREASE IN ACCOUNTS PAYABLE</t>
  </si>
  <si>
    <t>INCREASE IN ACCRUED SALARIES</t>
  </si>
  <si>
    <t>REPAYMENT OF LONG TERM DEBT</t>
  </si>
  <si>
    <t>DECREASE IN  ACCOUNTS RECEIVABLE</t>
  </si>
  <si>
    <t>CASH FLOW STATEMENT (DIRECT METHOD)</t>
  </si>
  <si>
    <t>CASH RECEIVED FROM CUSTOMERS (34500+27600)</t>
  </si>
  <si>
    <t>PROCEEDS FROM SALE OF MACHINE</t>
  </si>
  <si>
    <t>PAYMENT ON VENDOR ACCOUNTS</t>
  </si>
  <si>
    <t>PURCHASE OF SUPPLIES</t>
  </si>
  <si>
    <t>PURCHASE OF INVENTORY</t>
  </si>
  <si>
    <t>DOWN PAYMENT ON NEW TRUCK</t>
  </si>
  <si>
    <t>PAYMENT OF RENT</t>
  </si>
  <si>
    <t>PAYMENT OF UTILITIES</t>
  </si>
  <si>
    <t>OTHER MISCELLANEOUS EXPENSES</t>
  </si>
  <si>
    <t>REPAYMENT OF DEBT</t>
  </si>
  <si>
    <t>PAYMENT TO PART-TIME HELP</t>
  </si>
  <si>
    <t>LESS: CASH OPERATING  EXPENSES</t>
  </si>
  <si>
    <t>PAYMENT OF INTEREST</t>
  </si>
  <si>
    <t>Case 11-1 Medieval Adventures Company</t>
  </si>
  <si>
    <t>Case 11-2 Amerbran Company (A)</t>
  </si>
  <si>
    <t>WRITE-OFF OF OBSOLETE EQUIPMENT</t>
  </si>
  <si>
    <t>INCOME FROM SUBSIDIARY</t>
  </si>
  <si>
    <t>PURCHASE OF PROPERTY, PLANT AND EQUIPMENT</t>
  </si>
  <si>
    <t>PROCEEDS FROM DISPOSALS OF FIXED ASSETS</t>
  </si>
  <si>
    <t>ACQUISITION OF COMPANY (31691+102030)</t>
  </si>
  <si>
    <t>DIVIDEND PAID</t>
  </si>
  <si>
    <t xml:space="preserve">PURCHASE OF TREASURY STOCK </t>
  </si>
  <si>
    <t>INCREASE IN SHORT TERM DEBT</t>
  </si>
  <si>
    <t>INCREASE IN LONG TERM DEBT</t>
  </si>
  <si>
    <t>INCREASE IN INVENTORIES</t>
  </si>
  <si>
    <t>DECREASE IN PREPAID EXPENSE</t>
  </si>
  <si>
    <t>INCREASE IN ACCRUED EXPENSES PAYABLE</t>
  </si>
  <si>
    <t xml:space="preserve">CASH FLOWS FROM MISCELLANEOUS ACTIVITIES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</si>
  <si>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</si>
  <si>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</si>
  <si>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</si>
  <si>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</si>
  <si>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</si>
  <si>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</si>
  <si>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</si>
  <si>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</si>
  <si>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</si>
  <si>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Sales (in units)</t>
  </si>
  <si>
    <t>Selling price per unit</t>
  </si>
  <si>
    <t>Less: Variable cost ( Rs. 35 per unit)</t>
  </si>
  <si>
    <t>Sales (in Rs.)</t>
  </si>
  <si>
    <t>Less: Fixed costs</t>
  </si>
  <si>
    <t>Net Income</t>
  </si>
  <si>
    <t>Cash Receipt:</t>
  </si>
  <si>
    <t>Cash Payment:</t>
  </si>
  <si>
    <t>Opening Cash balance</t>
  </si>
  <si>
    <t>October</t>
  </si>
  <si>
    <t>November</t>
  </si>
  <si>
    <t>December</t>
  </si>
  <si>
    <t>Collection from customers</t>
  </si>
  <si>
    <t>Total cash receipt</t>
  </si>
  <si>
    <t>Total cash payment</t>
  </si>
  <si>
    <t>Loan from Bank*</t>
  </si>
  <si>
    <t>Loan repayment**</t>
  </si>
  <si>
    <t>Total Assets</t>
  </si>
  <si>
    <t>Total Liabilities and Owners' Equity</t>
  </si>
  <si>
    <t>Cash</t>
  </si>
  <si>
    <t>Accounts receivable</t>
  </si>
  <si>
    <t>Inventory</t>
  </si>
  <si>
    <t>Common stock</t>
  </si>
  <si>
    <t>Retained earnings</t>
  </si>
  <si>
    <t xml:space="preserve">Loan </t>
  </si>
  <si>
    <t>LESS: INCREASE IN INVENTORY</t>
  </si>
  <si>
    <t>PROCEEDS FROM LOAN</t>
  </si>
  <si>
    <t>MARCH</t>
  </si>
  <si>
    <t>MAY</t>
  </si>
  <si>
    <t>JULY</t>
  </si>
  <si>
    <t>Income Statement of  Medieval Adventures Company for November to November</t>
  </si>
  <si>
    <t>Cash Budget of  Medieval Adventures Company for the period of January to October</t>
  </si>
  <si>
    <t>Liabilities and Owners' Equity:</t>
  </si>
  <si>
    <t>Asset:</t>
  </si>
  <si>
    <t>CASH FLOW STATEMENT FOR THE END OF MONTH  MARCH, MAY AND JULY</t>
  </si>
  <si>
    <t>CASH FLOW STATEMENT OF AMERBRAN COMPNAY FOR THE YEAR 2011 (INDIRECT METHOD)</t>
  </si>
  <si>
    <t>Balance Sheet of Medieval Adventures Company as on end of the month December too September</t>
  </si>
  <si>
    <t>Less: Increase in receivables (641,000-511,000)</t>
  </si>
  <si>
    <t>2,000,000 cash inflow from proceeds of a 12-month note (Financing activities)
2,000,000 cash outflow to purchase equipment (Investing activities)</t>
  </si>
  <si>
    <t>Financing activities:                                                                                                             150,000 cash inflow from issuance of common stock (assuming face value per share of $1)
790,000 cash outflow to retire mortgage bonds</t>
  </si>
  <si>
    <t>No effect on cash.</t>
  </si>
  <si>
    <t>1,500,000 cash proceeds from the sale of machinery (Investing activity).</t>
  </si>
  <si>
    <t>CASH FLOW STATEMENT OF KIDS 'N CABOODLE FOR THE END OF THE YEAR (DIRECT METHOD)</t>
  </si>
  <si>
    <t>INCREASE IN OTHER ACCRUALS</t>
  </si>
  <si>
    <t xml:space="preserve">     INTEREST RECEIVED</t>
  </si>
  <si>
    <t>Assumed Indian GAAP. Interest received will be an operating activity as per the US GAAP.</t>
  </si>
  <si>
    <t>Assumed Indian GAAP. Interest paid will be an operating activity as per the US GAAP.</t>
  </si>
  <si>
    <t>Payment to suppliers</t>
  </si>
  <si>
    <t>Cash flow from operations</t>
  </si>
  <si>
    <t>Closing Cash balance without loan</t>
  </si>
  <si>
    <t>Closing Cash balance with loan</t>
  </si>
  <si>
    <t xml:space="preserve">* When closing cash balance goes below zero (0) then company has to borrow the amount which makes the closing balance zero.
</t>
  </si>
  <si>
    <t>** When closing cash balance is above zero then company has to make the repayment of loan.</t>
  </si>
  <si>
    <t>LESS: INCREASE IN ACCOUNTS RECEIVABLE</t>
  </si>
  <si>
    <t>DECREASE IN 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</si>
</sst>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38" fontId="2" fillId="0" borderId="0" xfId="0" applyNumberFormat="1" applyFont="1" applyAlignment="1">
      <alignment vertical="center"/>
    </xf>
    <xf numFmtId="38" fontId="3" fillId="0" borderId="0" xfId="0" applyNumberFormat="1" applyFont="1" applyAlignment="1">
      <alignment vertical="center"/>
    </xf>
    <xf numFmtId="38" fontId="2" fillId="0" borderId="1" xfId="0" applyNumberFormat="1" applyFont="1" applyBorder="1" applyAlignment="1">
      <alignment vertical="center"/>
    </xf>
    <xf numFmtId="38" fontId="2" fillId="0" borderId="2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38" fontId="2" fillId="0" borderId="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8" fontId="5" fillId="0" borderId="0" xfId="0" applyNumberFormat="1" applyFont="1" applyAlignment="1">
      <alignment vertical="center"/>
    </xf>
    <xf numFmtId="38" fontId="7" fillId="0" borderId="0" xfId="0" applyNumberFormat="1" applyFont="1" applyAlignment="1">
      <alignment vertical="center"/>
    </xf>
    <xf numFmtId="38" fontId="5" fillId="0" borderId="1" xfId="0" applyNumberFormat="1" applyFont="1" applyBorder="1" applyAlignment="1">
      <alignment vertical="center"/>
    </xf>
    <xf numFmtId="38" fontId="5" fillId="0" borderId="2" xfId="0" applyNumberFormat="1" applyFont="1" applyBorder="1" applyAlignment="1">
      <alignment vertical="center"/>
    </xf>
    <xf numFmtId="0" fontId="5" fillId="0" borderId="0" xfId="0" applyFont="1" applyAlignment="1">
      <alignment horizontal="left" indent="2"/>
    </xf>
    <xf numFmtId="0" fontId="8" fillId="0" borderId="0" xfId="0" applyFont="1"/>
    <xf numFmtId="38" fontId="5" fillId="0" borderId="0" xfId="0" applyNumberFormat="1" applyFont="1"/>
    <xf numFmtId="38" fontId="5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38" fontId="2" fillId="0" borderId="0" xfId="0" applyNumberFormat="1" applyFont="1" applyAlignment="1">
      <alignment horizontal="left" vertical="center" indent="2"/>
    </xf>
    <xf numFmtId="38" fontId="5" fillId="0" borderId="0" xfId="0" applyNumberFormat="1" applyFont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38" fontId="10" fillId="0" borderId="0" xfId="0" applyNumberFormat="1" applyFont="1" applyFill="1" applyAlignment="1">
      <alignment horizontal="left" vertical="center" indent="2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5" fillId="0" borderId="0" xfId="1" applyNumberFormat="1" applyFont="1"/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4" fillId="0" borderId="2" xfId="1" applyNumberFormat="1" applyFont="1" applyBorder="1" applyAlignment="1">
      <alignment vertical="center"/>
    </xf>
    <xf numFmtId="38" fontId="1" fillId="0" borderId="0" xfId="0" applyNumberFormat="1" applyFont="1" applyAlignment="1">
      <alignment vertical="center"/>
    </xf>
    <xf numFmtId="38" fontId="1" fillId="0" borderId="2" xfId="0" applyNumberFormat="1" applyFont="1" applyBorder="1" applyAlignment="1">
      <alignment vertical="center"/>
    </xf>
    <xf numFmtId="166" fontId="8" fillId="0" borderId="0" xfId="1" applyNumberFormat="1" applyFont="1"/>
    <xf numFmtId="166" fontId="6" fillId="0" borderId="0" xfId="1" applyNumberFormat="1" applyFont="1"/>
    <xf numFmtId="166" fontId="4" fillId="0" borderId="0" xfId="1" applyNumberFormat="1" applyFont="1"/>
    <xf numFmtId="166" fontId="4" fillId="0" borderId="3" xfId="1" applyNumberFormat="1" applyFont="1" applyBorder="1" applyAlignment="1">
      <alignment horizontal="center" vertical="center"/>
    </xf>
    <xf numFmtId="166" fontId="4" fillId="0" borderId="0" xfId="1" applyNumberFormat="1" applyFont="1" applyBorder="1"/>
    <xf numFmtId="166" fontId="4" fillId="0" borderId="4" xfId="1" applyNumberFormat="1" applyFont="1" applyBorder="1"/>
    <xf numFmtId="166" fontId="4" fillId="0" borderId="3" xfId="1" applyNumberFormat="1" applyFont="1" applyBorder="1"/>
    <xf numFmtId="166" fontId="7" fillId="0" borderId="0" xfId="1" applyNumberFormat="1" applyFont="1"/>
    <xf numFmtId="166" fontId="5" fillId="0" borderId="0" xfId="1" applyNumberFormat="1" applyFont="1" applyAlignment="1">
      <alignment horizontal="left" indent="2"/>
    </xf>
    <xf numFmtId="166" fontId="5" fillId="0" borderId="4" xfId="1" applyNumberFormat="1" applyFont="1" applyBorder="1"/>
    <xf numFmtId="166" fontId="7" fillId="0" borderId="0" xfId="1" applyNumberFormat="1" applyFont="1" applyAlignment="1">
      <alignment horizontal="right"/>
    </xf>
    <xf numFmtId="166" fontId="7" fillId="0" borderId="0" xfId="1" applyNumberFormat="1" applyFont="1" applyBorder="1"/>
    <xf numFmtId="166" fontId="5" fillId="0" borderId="0" xfId="1" applyNumberFormat="1" applyFont="1" applyBorder="1"/>
    <xf numFmtId="166" fontId="4" fillId="0" borderId="3" xfId="1" applyNumberFormat="1" applyFont="1" applyBorder="1" applyAlignment="1">
      <alignment vertical="center"/>
    </xf>
    <xf numFmtId="166" fontId="5" fillId="0" borderId="0" xfId="1" applyNumberFormat="1" applyFont="1" applyAlignment="1"/>
    <xf numFmtId="166" fontId="4" fillId="0" borderId="0" xfId="1" applyNumberFormat="1" applyFont="1" applyAlignment="1">
      <alignment horizontal="right"/>
    </xf>
    <xf numFmtId="166" fontId="7" fillId="0" borderId="0" xfId="1" applyNumberFormat="1" applyFont="1" applyAlignment="1">
      <alignment vertical="center" wrapText="1"/>
    </xf>
    <xf numFmtId="166" fontId="4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vertical="center"/>
    </xf>
    <xf numFmtId="166" fontId="4" fillId="0" borderId="0" xfId="1" applyNumberFormat="1" applyFont="1" applyAlignment="1">
      <alignment vertical="center" wrapText="1"/>
    </xf>
    <xf numFmtId="166" fontId="7" fillId="0" borderId="0" xfId="1" applyNumberFormat="1" applyFont="1" applyAlignment="1">
      <alignment vertical="center"/>
    </xf>
    <xf numFmtId="166" fontId="5" fillId="0" borderId="0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zoomScale="130" zoomScaleNormal="130" workbookViewId="0"/>
  </sheetViews>
  <sheetFormatPr defaultColWidth="9.1796875" defaultRowHeight="14" x14ac:dyDescent="0.35"/>
  <cols>
    <col min="1" max="1" width="42.1796875" style="35" bestFit="1" customWidth="1"/>
    <col min="2" max="2" width="10.7265625" style="35" bestFit="1" customWidth="1"/>
    <col min="3" max="16384" width="9.1796875" style="35"/>
  </cols>
  <sheetData>
    <row r="2" spans="1:2" x14ac:dyDescent="0.35">
      <c r="A2" s="12" t="s">
        <v>13</v>
      </c>
    </row>
    <row r="3" spans="1:2" x14ac:dyDescent="0.35">
      <c r="A3" s="12"/>
    </row>
    <row r="4" spans="1:2" x14ac:dyDescent="0.35">
      <c r="A4" s="25" t="s">
        <v>15</v>
      </c>
      <c r="B4" s="25" t="s">
        <v>16</v>
      </c>
    </row>
    <row r="5" spans="1:2" x14ac:dyDescent="0.35">
      <c r="A5" s="35" t="s">
        <v>14</v>
      </c>
      <c r="B5" s="36">
        <v>8337000</v>
      </c>
    </row>
    <row r="6" spans="1:2" x14ac:dyDescent="0.35">
      <c r="A6" s="35" t="s">
        <v>104</v>
      </c>
      <c r="B6" s="36">
        <v>-130000</v>
      </c>
    </row>
    <row r="7" spans="1:2" ht="14.5" thickBot="1" x14ac:dyDescent="0.4">
      <c r="A7" s="12" t="s">
        <v>13</v>
      </c>
      <c r="B7" s="37">
        <f>SUM(B5:B6)</f>
        <v>8207000</v>
      </c>
    </row>
    <row r="8" spans="1:2" ht="14.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zoomScale="130" zoomScaleNormal="130" workbookViewId="0"/>
  </sheetViews>
  <sheetFormatPr defaultColWidth="9.1796875" defaultRowHeight="18" customHeight="1" x14ac:dyDescent="0.3"/>
  <cols>
    <col min="1" max="1" width="9.1796875" style="9"/>
    <col min="2" max="2" width="75.54296875" style="9" customWidth="1"/>
    <col min="3" max="3" width="11.54296875" style="9" bestFit="1" customWidth="1"/>
    <col min="4" max="4" width="10.81640625" style="9" bestFit="1" customWidth="1"/>
    <col min="5" max="5" width="11.54296875" style="9" bestFit="1" customWidth="1"/>
    <col min="6" max="6" width="10.81640625" style="9" bestFit="1" customWidth="1"/>
    <col min="7" max="9" width="9.1796875" style="9"/>
    <col min="10" max="10" width="11.54296875" style="9" bestFit="1" customWidth="1"/>
    <col min="11" max="11" width="9.81640625" style="9" bestFit="1" customWidth="1"/>
    <col min="12" max="16384" width="9.1796875" style="9"/>
  </cols>
  <sheetData>
    <row r="1" spans="1:11" ht="18" customHeight="1" x14ac:dyDescent="0.3">
      <c r="G1" s="23"/>
      <c r="H1" s="23"/>
      <c r="I1" s="23"/>
      <c r="J1" s="23"/>
      <c r="K1" s="23"/>
    </row>
    <row r="2" spans="1:11" ht="28" x14ac:dyDescent="0.3">
      <c r="A2" s="28">
        <v>1</v>
      </c>
      <c r="B2" s="10" t="s">
        <v>105</v>
      </c>
      <c r="G2" s="23"/>
      <c r="H2" s="23"/>
      <c r="I2" s="23"/>
      <c r="J2" s="23"/>
      <c r="K2" s="23"/>
    </row>
    <row r="3" spans="1:11" ht="42" x14ac:dyDescent="0.3">
      <c r="A3" s="28">
        <v>2</v>
      </c>
      <c r="B3" s="10" t="s">
        <v>106</v>
      </c>
    </row>
    <row r="4" spans="1:11" ht="18" customHeight="1" x14ac:dyDescent="0.3">
      <c r="A4" s="28">
        <v>3</v>
      </c>
      <c r="B4" s="10" t="s">
        <v>107</v>
      </c>
    </row>
    <row r="5" spans="1:11" ht="18" customHeight="1" x14ac:dyDescent="0.3">
      <c r="A5" s="28">
        <v>4</v>
      </c>
      <c r="B5" s="10" t="s">
        <v>107</v>
      </c>
    </row>
    <row r="6" spans="1:11" ht="18" customHeight="1" x14ac:dyDescent="0.3">
      <c r="A6" s="28">
        <v>5</v>
      </c>
      <c r="B6" s="10" t="s">
        <v>108</v>
      </c>
    </row>
    <row r="7" spans="1:11" ht="18" customHeight="1" x14ac:dyDescent="0.3">
      <c r="A7" s="28"/>
      <c r="B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="120" zoomScaleNormal="120" workbookViewId="0">
      <selection sqref="A1:C1"/>
    </sheetView>
  </sheetViews>
  <sheetFormatPr defaultRowHeight="14.5" x14ac:dyDescent="0.35"/>
  <cols>
    <col min="1" max="1" width="52.81640625" customWidth="1"/>
    <col min="2" max="2" width="11.453125" customWidth="1"/>
  </cols>
  <sheetData>
    <row r="1" spans="1:8" ht="30.5" customHeight="1" x14ac:dyDescent="0.35">
      <c r="A1" s="31" t="s">
        <v>109</v>
      </c>
      <c r="B1" s="31"/>
      <c r="C1" s="31"/>
      <c r="D1" s="24"/>
      <c r="E1" s="24"/>
      <c r="F1" s="24"/>
      <c r="G1" s="24"/>
      <c r="H1" s="24"/>
    </row>
    <row r="2" spans="1:8" ht="15.5" x14ac:dyDescent="0.35">
      <c r="A2" s="1"/>
      <c r="B2" s="32" t="s">
        <v>0</v>
      </c>
      <c r="C2" s="32"/>
      <c r="D2" s="2"/>
      <c r="E2" s="2"/>
      <c r="F2" s="2"/>
    </row>
    <row r="3" spans="1:8" ht="15.5" x14ac:dyDescent="0.35">
      <c r="A3" s="3" t="s">
        <v>1</v>
      </c>
      <c r="B3" s="2"/>
      <c r="C3" s="2"/>
      <c r="D3" s="2"/>
      <c r="E3" s="2"/>
      <c r="F3" s="2"/>
    </row>
    <row r="4" spans="1:8" ht="15.5" x14ac:dyDescent="0.35">
      <c r="A4" s="2" t="s">
        <v>18</v>
      </c>
      <c r="B4" s="2">
        <v>155000</v>
      </c>
      <c r="C4" s="2"/>
      <c r="D4" s="2"/>
      <c r="E4" s="2"/>
      <c r="F4" s="2"/>
    </row>
    <row r="5" spans="1:8" ht="15.5" x14ac:dyDescent="0.35">
      <c r="A5" s="2" t="s">
        <v>19</v>
      </c>
      <c r="B5" s="2"/>
      <c r="C5" s="2"/>
      <c r="D5" s="2"/>
      <c r="E5" s="2"/>
      <c r="F5" s="2"/>
    </row>
    <row r="6" spans="1:8" ht="15.5" x14ac:dyDescent="0.35">
      <c r="A6" s="26" t="s">
        <v>20</v>
      </c>
      <c r="B6" s="2">
        <v>-84000</v>
      </c>
      <c r="C6" s="2"/>
      <c r="D6" s="2"/>
      <c r="E6" s="2"/>
      <c r="F6" s="2"/>
    </row>
    <row r="7" spans="1:8" ht="15.5" x14ac:dyDescent="0.35">
      <c r="A7" s="26" t="s">
        <v>21</v>
      </c>
      <c r="B7" s="2">
        <v>-33000</v>
      </c>
      <c r="C7" s="2"/>
      <c r="D7" s="2"/>
      <c r="E7" s="2"/>
      <c r="F7" s="2"/>
    </row>
    <row r="8" spans="1:8" ht="15.5" x14ac:dyDescent="0.35">
      <c r="A8" s="26" t="s">
        <v>22</v>
      </c>
      <c r="B8" s="2">
        <v>-22000</v>
      </c>
      <c r="C8" s="2"/>
      <c r="D8" s="2"/>
      <c r="E8" s="2"/>
      <c r="F8" s="2"/>
    </row>
    <row r="9" spans="1:8" ht="15.5" x14ac:dyDescent="0.35">
      <c r="A9" s="26" t="s">
        <v>23</v>
      </c>
      <c r="B9" s="4">
        <v>-7900</v>
      </c>
      <c r="C9" s="2">
        <f>SUM(B4:B9)</f>
        <v>8100</v>
      </c>
      <c r="D9" s="2"/>
      <c r="E9" s="2"/>
      <c r="F9" s="2"/>
    </row>
    <row r="10" spans="1:8" ht="15.5" x14ac:dyDescent="0.35">
      <c r="A10" s="2"/>
      <c r="B10" s="2"/>
      <c r="C10" s="2"/>
      <c r="D10" s="2"/>
      <c r="E10" s="2"/>
      <c r="F10" s="2"/>
    </row>
    <row r="11" spans="1:8" ht="15.5" x14ac:dyDescent="0.35">
      <c r="A11" s="3" t="s">
        <v>8</v>
      </c>
      <c r="B11" s="2"/>
      <c r="C11" s="2"/>
      <c r="D11" s="2"/>
      <c r="E11" s="2"/>
      <c r="F11" s="2"/>
    </row>
    <row r="12" spans="1:8" ht="15.5" x14ac:dyDescent="0.35">
      <c r="A12" s="26" t="s">
        <v>17</v>
      </c>
      <c r="B12" s="2">
        <v>-10500</v>
      </c>
      <c r="C12" s="2"/>
      <c r="D12" s="2"/>
      <c r="E12" s="2"/>
      <c r="F12" s="2"/>
    </row>
    <row r="13" spans="1:8" ht="15.5" x14ac:dyDescent="0.35">
      <c r="A13" s="2"/>
      <c r="B13" s="4"/>
      <c r="C13" s="2">
        <f>SUM(B12:B13)</f>
        <v>-10500</v>
      </c>
      <c r="D13" s="2"/>
      <c r="E13" s="2"/>
      <c r="F13" s="2"/>
    </row>
    <row r="14" spans="1:8" ht="15.5" x14ac:dyDescent="0.35">
      <c r="A14" s="2"/>
      <c r="B14" s="2"/>
      <c r="C14" s="2"/>
      <c r="D14" s="2"/>
      <c r="E14" s="2"/>
      <c r="F14" s="2"/>
    </row>
    <row r="15" spans="1:8" ht="15.5" x14ac:dyDescent="0.35">
      <c r="A15" s="3" t="s">
        <v>9</v>
      </c>
      <c r="B15" s="2"/>
      <c r="C15" s="2"/>
      <c r="D15" s="2"/>
      <c r="E15" s="2"/>
      <c r="F15" s="2"/>
    </row>
    <row r="16" spans="1:8" ht="15.5" x14ac:dyDescent="0.35">
      <c r="A16" s="26" t="s">
        <v>93</v>
      </c>
      <c r="B16" s="2">
        <v>21000</v>
      </c>
      <c r="C16" s="2"/>
      <c r="D16" s="2"/>
      <c r="E16" s="2"/>
      <c r="F16" s="2"/>
    </row>
    <row r="17" spans="1:8" ht="15.5" x14ac:dyDescent="0.35">
      <c r="A17" s="2"/>
      <c r="B17" s="4"/>
      <c r="C17" s="2">
        <f>SUM(B16:B17)</f>
        <v>21000</v>
      </c>
      <c r="D17" s="2"/>
      <c r="E17" s="2"/>
      <c r="F17" s="2"/>
    </row>
    <row r="18" spans="1:8" ht="15.5" x14ac:dyDescent="0.35">
      <c r="A18" s="2"/>
      <c r="B18" s="2"/>
      <c r="C18" s="2"/>
      <c r="D18" s="2"/>
      <c r="E18" s="2"/>
      <c r="F18" s="2"/>
    </row>
    <row r="19" spans="1:8" ht="15.5" x14ac:dyDescent="0.35">
      <c r="A19" s="3" t="s">
        <v>10</v>
      </c>
      <c r="B19" s="2"/>
      <c r="C19" s="3">
        <f>SUM(C9:C17)</f>
        <v>18600</v>
      </c>
      <c r="D19" s="2"/>
      <c r="E19" s="2"/>
      <c r="F19" s="2"/>
    </row>
    <row r="20" spans="1:8" ht="15.5" x14ac:dyDescent="0.35">
      <c r="A20" s="2" t="s">
        <v>11</v>
      </c>
      <c r="B20" s="2"/>
      <c r="C20" s="2">
        <v>0</v>
      </c>
      <c r="D20" s="2"/>
      <c r="E20" s="2"/>
      <c r="F20" s="2"/>
    </row>
    <row r="21" spans="1:8" ht="16" thickBot="1" x14ac:dyDescent="0.4">
      <c r="A21" s="38" t="s">
        <v>12</v>
      </c>
      <c r="B21" s="38"/>
      <c r="C21" s="39">
        <f>C19+C20</f>
        <v>18600</v>
      </c>
      <c r="D21" s="2"/>
      <c r="E21" s="2"/>
      <c r="F21" s="2"/>
    </row>
    <row r="22" spans="1:8" ht="16" thickTop="1" x14ac:dyDescent="0.35">
      <c r="A22" s="6"/>
      <c r="D22" s="7"/>
      <c r="E22" s="7"/>
      <c r="F22" s="7"/>
      <c r="G22" s="2"/>
      <c r="H22" s="2"/>
    </row>
  </sheetData>
  <mergeCells count="2">
    <mergeCell ref="A1:C1"/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zoomScale="120" zoomScaleNormal="120" workbookViewId="0">
      <selection sqref="A1:C1"/>
    </sheetView>
  </sheetViews>
  <sheetFormatPr defaultRowHeight="14.5" x14ac:dyDescent="0.35"/>
  <cols>
    <col min="1" max="1" width="62.26953125" bestFit="1" customWidth="1"/>
    <col min="2" max="2" width="11.7265625" customWidth="1"/>
    <col min="3" max="3" width="10.81640625" customWidth="1"/>
  </cols>
  <sheetData>
    <row r="1" spans="1:8" ht="38.25" customHeight="1" x14ac:dyDescent="0.35">
      <c r="A1" s="31" t="s">
        <v>24</v>
      </c>
      <c r="B1" s="31"/>
      <c r="C1" s="31"/>
      <c r="D1" s="24"/>
      <c r="E1" s="24"/>
      <c r="F1" s="24"/>
      <c r="G1" s="24"/>
      <c r="H1" s="24"/>
    </row>
    <row r="2" spans="1:8" ht="15" x14ac:dyDescent="0.35">
      <c r="A2" s="21"/>
      <c r="B2" s="21"/>
      <c r="C2" s="21"/>
      <c r="D2" s="24"/>
      <c r="E2" s="24"/>
      <c r="F2" s="24"/>
      <c r="G2" s="24"/>
      <c r="H2" s="24"/>
    </row>
    <row r="3" spans="1:8" ht="15" x14ac:dyDescent="0.35">
      <c r="A3" s="1"/>
      <c r="B3" s="32" t="s">
        <v>0</v>
      </c>
      <c r="C3" s="32"/>
    </row>
    <row r="4" spans="1:8" ht="15.5" x14ac:dyDescent="0.35">
      <c r="A4" s="3" t="s">
        <v>1</v>
      </c>
      <c r="B4" s="2"/>
      <c r="C4" s="2"/>
    </row>
    <row r="5" spans="1:8" ht="15.5" x14ac:dyDescent="0.35">
      <c r="A5" s="2" t="s">
        <v>2</v>
      </c>
      <c r="B5" s="2">
        <v>-11000</v>
      </c>
      <c r="C5" s="2"/>
    </row>
    <row r="6" spans="1:8" ht="15.5" x14ac:dyDescent="0.35">
      <c r="A6" s="2" t="s">
        <v>3</v>
      </c>
      <c r="B6" s="2"/>
      <c r="C6" s="2"/>
    </row>
    <row r="7" spans="1:8" ht="15.5" x14ac:dyDescent="0.35">
      <c r="A7" s="26" t="s">
        <v>4</v>
      </c>
      <c r="B7" s="2">
        <v>26400</v>
      </c>
      <c r="C7" s="2"/>
    </row>
    <row r="8" spans="1:8" ht="15.5" x14ac:dyDescent="0.35">
      <c r="A8" s="2"/>
      <c r="B8" s="2"/>
      <c r="C8" s="2"/>
    </row>
    <row r="9" spans="1:8" ht="15.5" x14ac:dyDescent="0.35">
      <c r="A9" s="2" t="s">
        <v>5</v>
      </c>
      <c r="B9" s="2"/>
      <c r="C9" s="2"/>
    </row>
    <row r="10" spans="1:8" ht="15.5" x14ac:dyDescent="0.35">
      <c r="A10" s="26"/>
      <c r="B10" s="2"/>
      <c r="C10" s="2"/>
    </row>
    <row r="11" spans="1:8" ht="15.5" x14ac:dyDescent="0.35">
      <c r="A11" s="2" t="s">
        <v>6</v>
      </c>
      <c r="B11" s="2"/>
      <c r="C11" s="2"/>
    </row>
    <row r="12" spans="1:8" ht="15.5" x14ac:dyDescent="0.35">
      <c r="A12" s="26" t="s">
        <v>28</v>
      </c>
      <c r="B12" s="7">
        <f>26400-8800</f>
        <v>17600</v>
      </c>
      <c r="C12" s="2"/>
    </row>
    <row r="13" spans="1:8" ht="15.5" x14ac:dyDescent="0.35">
      <c r="A13" s="26" t="s">
        <v>25</v>
      </c>
      <c r="B13" s="2">
        <f>30800-22000</f>
        <v>8800</v>
      </c>
      <c r="C13" s="2"/>
    </row>
    <row r="14" spans="1:8" ht="15.5" x14ac:dyDescent="0.35">
      <c r="A14" s="26" t="s">
        <v>26</v>
      </c>
      <c r="B14" s="2">
        <f>8800-5500</f>
        <v>3300</v>
      </c>
      <c r="C14" s="2"/>
    </row>
    <row r="15" spans="1:8" ht="15.5" x14ac:dyDescent="0.35">
      <c r="A15" s="26" t="s">
        <v>110</v>
      </c>
      <c r="B15" s="4">
        <f>3300-1100</f>
        <v>2200</v>
      </c>
      <c r="C15" s="2">
        <f>SUM(B5:B15)</f>
        <v>47300</v>
      </c>
    </row>
    <row r="16" spans="1:8" ht="15.5" x14ac:dyDescent="0.35">
      <c r="A16" s="2"/>
      <c r="B16" s="2"/>
      <c r="C16" s="2"/>
    </row>
    <row r="17" spans="1:8" ht="15.5" x14ac:dyDescent="0.35">
      <c r="A17" s="3" t="s">
        <v>8</v>
      </c>
      <c r="B17" s="2"/>
      <c r="C17" s="2"/>
    </row>
    <row r="18" spans="1:8" ht="15.5" x14ac:dyDescent="0.35">
      <c r="A18" s="2"/>
      <c r="B18" s="4">
        <v>0</v>
      </c>
      <c r="C18" s="2">
        <f>SUM(B18:B18)</f>
        <v>0</v>
      </c>
    </row>
    <row r="19" spans="1:8" ht="15.5" x14ac:dyDescent="0.35">
      <c r="A19" s="2"/>
      <c r="B19" s="2"/>
      <c r="C19" s="2"/>
    </row>
    <row r="20" spans="1:8" ht="15.5" x14ac:dyDescent="0.35">
      <c r="A20" s="3" t="s">
        <v>9</v>
      </c>
      <c r="B20" s="2"/>
      <c r="C20" s="2"/>
    </row>
    <row r="21" spans="1:8" ht="15.5" x14ac:dyDescent="0.35">
      <c r="A21" s="2" t="s">
        <v>27</v>
      </c>
      <c r="B21" s="2">
        <f>100100-129800</f>
        <v>-29700</v>
      </c>
      <c r="C21" s="2"/>
    </row>
    <row r="22" spans="1:8" ht="15.5" x14ac:dyDescent="0.35">
      <c r="A22" s="2"/>
      <c r="B22" s="4"/>
      <c r="C22" s="2">
        <f>SUM(B21:B22)</f>
        <v>-29700</v>
      </c>
    </row>
    <row r="23" spans="1:8" ht="15.5" x14ac:dyDescent="0.35">
      <c r="A23" s="2"/>
      <c r="B23" s="2"/>
      <c r="C23" s="2"/>
    </row>
    <row r="24" spans="1:8" ht="15.5" x14ac:dyDescent="0.35">
      <c r="A24" s="3" t="s">
        <v>10</v>
      </c>
      <c r="B24" s="2"/>
      <c r="C24" s="3">
        <f>SUM(C15:C22)</f>
        <v>17600</v>
      </c>
    </row>
    <row r="25" spans="1:8" ht="15.5" x14ac:dyDescent="0.35">
      <c r="A25" s="2" t="s">
        <v>11</v>
      </c>
      <c r="B25" s="2"/>
      <c r="C25" s="2">
        <v>4400</v>
      </c>
    </row>
    <row r="26" spans="1:8" ht="16" thickBot="1" x14ac:dyDescent="0.4">
      <c r="A26" s="38" t="s">
        <v>12</v>
      </c>
      <c r="B26" s="2"/>
      <c r="C26" s="39">
        <f>C24+C25</f>
        <v>22000</v>
      </c>
    </row>
    <row r="27" spans="1:8" ht="16" thickTop="1" x14ac:dyDescent="0.35">
      <c r="A27" s="6"/>
      <c r="B27" s="7"/>
      <c r="C27" s="7"/>
      <c r="D27" s="7"/>
      <c r="E27" s="7"/>
      <c r="F27" s="7"/>
      <c r="G27" s="2"/>
      <c r="H27" s="2"/>
    </row>
  </sheetData>
  <mergeCells count="2">
    <mergeCell ref="B3:C3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zoomScale="110" zoomScaleNormal="110" workbookViewId="0">
      <selection sqref="A1:C1"/>
    </sheetView>
  </sheetViews>
  <sheetFormatPr defaultRowHeight="14.5" x14ac:dyDescent="0.35"/>
  <cols>
    <col min="1" max="1" width="55.54296875" bestFit="1" customWidth="1"/>
    <col min="2" max="2" width="9.453125" bestFit="1" customWidth="1"/>
    <col min="11" max="11" width="33.54296875" bestFit="1" customWidth="1"/>
  </cols>
  <sheetData>
    <row r="1" spans="1:8" ht="15" x14ac:dyDescent="0.35">
      <c r="A1" s="31" t="s">
        <v>29</v>
      </c>
      <c r="B1" s="31"/>
      <c r="C1" s="31"/>
      <c r="D1" s="24"/>
      <c r="E1" s="24"/>
      <c r="F1" s="24"/>
      <c r="G1" s="24"/>
      <c r="H1" s="24"/>
    </row>
    <row r="2" spans="1:8" ht="15" x14ac:dyDescent="0.35">
      <c r="A2" s="21"/>
      <c r="B2" s="21"/>
      <c r="C2" s="21"/>
      <c r="D2" s="24"/>
      <c r="E2" s="24"/>
      <c r="F2" s="24"/>
      <c r="G2" s="24"/>
      <c r="H2" s="24"/>
    </row>
    <row r="3" spans="1:8" ht="15" x14ac:dyDescent="0.35">
      <c r="A3" s="1"/>
      <c r="B3" s="32" t="s">
        <v>0</v>
      </c>
      <c r="C3" s="32"/>
    </row>
    <row r="4" spans="1:8" ht="15.5" x14ac:dyDescent="0.35">
      <c r="A4" s="3" t="s">
        <v>1</v>
      </c>
      <c r="B4" s="2"/>
      <c r="C4" s="2"/>
    </row>
    <row r="5" spans="1:8" ht="15.5" x14ac:dyDescent="0.35">
      <c r="A5" s="2" t="s">
        <v>30</v>
      </c>
      <c r="B5" s="2">
        <f>34500+27600</f>
        <v>62100</v>
      </c>
      <c r="C5" s="2"/>
    </row>
    <row r="6" spans="1:8" ht="15.5" x14ac:dyDescent="0.35">
      <c r="A6" s="2"/>
      <c r="B6" s="2"/>
      <c r="C6" s="2"/>
    </row>
    <row r="7" spans="1:8" ht="15.5" x14ac:dyDescent="0.35">
      <c r="A7" s="2" t="s">
        <v>41</v>
      </c>
      <c r="B7" s="2"/>
      <c r="C7" s="2"/>
    </row>
    <row r="8" spans="1:8" ht="15.5" x14ac:dyDescent="0.35">
      <c r="A8" s="26" t="s">
        <v>32</v>
      </c>
      <c r="B8" s="2">
        <v>-17250</v>
      </c>
      <c r="C8" s="2"/>
    </row>
    <row r="9" spans="1:8" ht="15.5" x14ac:dyDescent="0.35">
      <c r="A9" s="26" t="s">
        <v>33</v>
      </c>
      <c r="B9" s="2">
        <v>-345</v>
      </c>
      <c r="C9" s="2"/>
    </row>
    <row r="10" spans="1:8" ht="15.5" x14ac:dyDescent="0.35">
      <c r="A10" s="26" t="s">
        <v>34</v>
      </c>
      <c r="B10" s="2">
        <v>-17250</v>
      </c>
      <c r="C10" s="2"/>
    </row>
    <row r="11" spans="1:8" ht="15.5" x14ac:dyDescent="0.35">
      <c r="A11" s="26" t="s">
        <v>36</v>
      </c>
      <c r="B11" s="2">
        <v>-8625</v>
      </c>
      <c r="C11" s="2"/>
    </row>
    <row r="12" spans="1:8" ht="15.5" x14ac:dyDescent="0.35">
      <c r="A12" s="26" t="s">
        <v>37</v>
      </c>
      <c r="B12" s="2">
        <v>-2070</v>
      </c>
      <c r="C12" s="2"/>
    </row>
    <row r="13" spans="1:8" ht="15.5" x14ac:dyDescent="0.35">
      <c r="A13" s="26" t="s">
        <v>38</v>
      </c>
      <c r="B13" s="2">
        <v>-1725</v>
      </c>
      <c r="C13" s="2"/>
    </row>
    <row r="14" spans="1:8" ht="15.5" x14ac:dyDescent="0.35">
      <c r="A14" s="26" t="s">
        <v>40</v>
      </c>
      <c r="B14" s="4">
        <v>-6900</v>
      </c>
    </row>
    <row r="15" spans="1:8" ht="15.5" x14ac:dyDescent="0.35">
      <c r="A15" s="2"/>
      <c r="B15" s="2"/>
      <c r="C15" s="2">
        <f>SUM(B5:B14)</f>
        <v>7935</v>
      </c>
    </row>
    <row r="16" spans="1:8" ht="15.5" x14ac:dyDescent="0.35">
      <c r="A16" s="3" t="s">
        <v>8</v>
      </c>
      <c r="B16" s="2"/>
      <c r="C16" s="2"/>
    </row>
    <row r="17" spans="1:8" ht="15.5" x14ac:dyDescent="0.35">
      <c r="A17" s="2" t="s">
        <v>111</v>
      </c>
      <c r="B17" s="2">
        <v>345</v>
      </c>
      <c r="C17" s="2"/>
      <c r="D17" s="2" t="s">
        <v>112</v>
      </c>
    </row>
    <row r="18" spans="1:8" ht="15.5" x14ac:dyDescent="0.35">
      <c r="A18" s="26" t="s">
        <v>31</v>
      </c>
      <c r="B18" s="2">
        <v>3105</v>
      </c>
      <c r="C18" s="2"/>
    </row>
    <row r="19" spans="1:8" ht="15.5" x14ac:dyDescent="0.35">
      <c r="A19" s="26" t="s">
        <v>35</v>
      </c>
      <c r="B19" s="4">
        <v>-3450</v>
      </c>
      <c r="C19" s="2">
        <f>SUM(B17:B19)</f>
        <v>0</v>
      </c>
    </row>
    <row r="20" spans="1:8" ht="15.5" x14ac:dyDescent="0.35">
      <c r="A20" s="2"/>
      <c r="B20" s="2"/>
      <c r="C20" s="2"/>
    </row>
    <row r="21" spans="1:8" ht="15.5" x14ac:dyDescent="0.35">
      <c r="A21" s="3" t="s">
        <v>9</v>
      </c>
      <c r="B21" s="2"/>
      <c r="C21" s="2"/>
    </row>
    <row r="22" spans="1:8" ht="15.5" x14ac:dyDescent="0.35">
      <c r="A22" s="26" t="s">
        <v>39</v>
      </c>
      <c r="B22" s="2">
        <v>-3450</v>
      </c>
      <c r="C22" s="2"/>
    </row>
    <row r="23" spans="1:8" ht="15.5" x14ac:dyDescent="0.35">
      <c r="A23" s="29" t="s">
        <v>42</v>
      </c>
      <c r="B23" s="4">
        <v>-1035</v>
      </c>
      <c r="C23" s="2">
        <f>SUM(B22:B23)</f>
        <v>-4485</v>
      </c>
      <c r="D23" s="2" t="s">
        <v>113</v>
      </c>
    </row>
    <row r="24" spans="1:8" ht="15.5" x14ac:dyDescent="0.35">
      <c r="A24" s="2"/>
      <c r="B24" s="2"/>
      <c r="C24" s="2"/>
    </row>
    <row r="25" spans="1:8" ht="15.5" x14ac:dyDescent="0.35">
      <c r="A25" s="3" t="s">
        <v>10</v>
      </c>
      <c r="B25" s="2"/>
      <c r="C25" s="2">
        <f>SUM(C15:C23)</f>
        <v>3450</v>
      </c>
    </row>
    <row r="26" spans="1:8" ht="15.5" x14ac:dyDescent="0.35">
      <c r="A26" s="2" t="s">
        <v>11</v>
      </c>
      <c r="B26" s="2"/>
      <c r="C26" s="2">
        <v>3450</v>
      </c>
    </row>
    <row r="27" spans="1:8" ht="16" thickBot="1" x14ac:dyDescent="0.4">
      <c r="A27" s="2" t="s">
        <v>12</v>
      </c>
      <c r="B27" s="2"/>
      <c r="C27" s="5">
        <f>C25+C26</f>
        <v>6900</v>
      </c>
    </row>
    <row r="28" spans="1:8" ht="16" thickTop="1" x14ac:dyDescent="0.35">
      <c r="A28" s="6"/>
      <c r="B28" s="7"/>
      <c r="C28" s="7"/>
      <c r="D28" s="7"/>
      <c r="E28" s="7"/>
      <c r="F28" s="7"/>
      <c r="G28" s="2"/>
      <c r="H28" s="2"/>
    </row>
  </sheetData>
  <mergeCells count="2">
    <mergeCell ref="B3:C3"/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"/>
  <sheetViews>
    <sheetView zoomScaleNormal="100" workbookViewId="0"/>
  </sheetViews>
  <sheetFormatPr defaultColWidth="10.7265625" defaultRowHeight="14" x14ac:dyDescent="0.3"/>
  <cols>
    <col min="1" max="1" width="5.1796875" style="34" customWidth="1"/>
    <col min="2" max="2" width="44.26953125" style="34" customWidth="1"/>
    <col min="3" max="3" width="11" style="34" bestFit="1" customWidth="1"/>
    <col min="4" max="4" width="10.7265625" style="34" bestFit="1" customWidth="1"/>
    <col min="5" max="6" width="10" style="34" bestFit="1" customWidth="1"/>
    <col min="7" max="8" width="9" style="34" bestFit="1" customWidth="1"/>
    <col min="9" max="10" width="9.1796875" style="34" bestFit="1" customWidth="1"/>
    <col min="11" max="13" width="11.1796875" style="34" bestFit="1" customWidth="1"/>
    <col min="14" max="14" width="9.1796875" style="34" bestFit="1" customWidth="1"/>
    <col min="15" max="15" width="11" style="34" bestFit="1" customWidth="1"/>
    <col min="16" max="16384" width="10.7265625" style="34"/>
  </cols>
  <sheetData>
    <row r="1" spans="1:15" x14ac:dyDescent="0.3">
      <c r="A1" s="40" t="s">
        <v>43</v>
      </c>
    </row>
    <row r="2" spans="1:15" x14ac:dyDescent="0.3">
      <c r="A2" s="41"/>
    </row>
    <row r="3" spans="1:15" x14ac:dyDescent="0.3">
      <c r="A3" s="41"/>
      <c r="B3" s="42" t="s">
        <v>97</v>
      </c>
      <c r="C3" s="42"/>
      <c r="D3" s="42"/>
    </row>
    <row r="4" spans="1:15" x14ac:dyDescent="0.3">
      <c r="A4" s="41"/>
    </row>
    <row r="5" spans="1:15" x14ac:dyDescent="0.3">
      <c r="A5" s="41"/>
      <c r="B5" s="43" t="s">
        <v>15</v>
      </c>
      <c r="C5" s="43" t="s">
        <v>77</v>
      </c>
      <c r="D5" s="43" t="s">
        <v>78</v>
      </c>
      <c r="E5" s="43" t="s">
        <v>58</v>
      </c>
      <c r="F5" s="43" t="s">
        <v>59</v>
      </c>
      <c r="G5" s="43" t="s">
        <v>60</v>
      </c>
      <c r="H5" s="43" t="s">
        <v>61</v>
      </c>
      <c r="I5" s="43" t="s">
        <v>62</v>
      </c>
      <c r="J5" s="43" t="s">
        <v>63</v>
      </c>
      <c r="K5" s="43" t="s">
        <v>64</v>
      </c>
      <c r="L5" s="43" t="s">
        <v>65</v>
      </c>
      <c r="M5" s="43" t="s">
        <v>66</v>
      </c>
      <c r="N5" s="43" t="s">
        <v>76</v>
      </c>
      <c r="O5" s="43" t="s">
        <v>77</v>
      </c>
    </row>
    <row r="6" spans="1:15" x14ac:dyDescent="0.3">
      <c r="A6" s="41"/>
      <c r="B6" s="34" t="s">
        <v>67</v>
      </c>
      <c r="C6" s="34">
        <v>500</v>
      </c>
      <c r="D6" s="34">
        <v>750</v>
      </c>
      <c r="E6" s="34">
        <v>1000</v>
      </c>
      <c r="F6" s="34">
        <f>E6+500</f>
        <v>1500</v>
      </c>
      <c r="G6" s="34">
        <f t="shared" ref="G6:O6" si="0">F6+500</f>
        <v>2000</v>
      </c>
      <c r="H6" s="34">
        <f t="shared" si="0"/>
        <v>2500</v>
      </c>
      <c r="I6" s="34">
        <f t="shared" si="0"/>
        <v>3000</v>
      </c>
      <c r="J6" s="34">
        <f t="shared" si="0"/>
        <v>3500</v>
      </c>
      <c r="K6" s="34">
        <f t="shared" si="0"/>
        <v>4000</v>
      </c>
      <c r="L6" s="34">
        <f t="shared" si="0"/>
        <v>4500</v>
      </c>
      <c r="M6" s="34">
        <f t="shared" si="0"/>
        <v>5000</v>
      </c>
      <c r="N6" s="34">
        <f t="shared" si="0"/>
        <v>5500</v>
      </c>
      <c r="O6" s="34">
        <f t="shared" si="0"/>
        <v>6000</v>
      </c>
    </row>
    <row r="7" spans="1:15" x14ac:dyDescent="0.3">
      <c r="A7" s="41"/>
      <c r="B7" s="34" t="s">
        <v>68</v>
      </c>
      <c r="C7" s="34">
        <v>55</v>
      </c>
      <c r="D7" s="34">
        <v>55</v>
      </c>
      <c r="E7" s="34">
        <v>55</v>
      </c>
      <c r="F7" s="34">
        <v>55</v>
      </c>
      <c r="G7" s="34">
        <v>55</v>
      </c>
      <c r="H7" s="34">
        <v>55</v>
      </c>
      <c r="I7" s="34">
        <v>55</v>
      </c>
      <c r="J7" s="34">
        <v>55</v>
      </c>
      <c r="K7" s="34">
        <v>55</v>
      </c>
      <c r="L7" s="34">
        <v>55</v>
      </c>
      <c r="M7" s="34">
        <v>55</v>
      </c>
      <c r="N7" s="34">
        <v>55</v>
      </c>
      <c r="O7" s="34">
        <v>55</v>
      </c>
    </row>
    <row r="8" spans="1:15" x14ac:dyDescent="0.3">
      <c r="A8" s="41"/>
      <c r="B8" s="44" t="s">
        <v>70</v>
      </c>
      <c r="C8" s="45">
        <f t="shared" ref="C8:D8" si="1">C6*C7</f>
        <v>27500</v>
      </c>
      <c r="D8" s="45">
        <f t="shared" si="1"/>
        <v>41250</v>
      </c>
      <c r="E8" s="45">
        <f>E6*E7</f>
        <v>55000</v>
      </c>
      <c r="F8" s="45">
        <f t="shared" ref="F8:N8" si="2">F6*F7</f>
        <v>82500</v>
      </c>
      <c r="G8" s="45">
        <f t="shared" si="2"/>
        <v>110000</v>
      </c>
      <c r="H8" s="45">
        <f t="shared" si="2"/>
        <v>137500</v>
      </c>
      <c r="I8" s="45">
        <f t="shared" si="2"/>
        <v>165000</v>
      </c>
      <c r="J8" s="45">
        <f t="shared" si="2"/>
        <v>192500</v>
      </c>
      <c r="K8" s="45">
        <f t="shared" si="2"/>
        <v>220000</v>
      </c>
      <c r="L8" s="45">
        <f t="shared" si="2"/>
        <v>247500</v>
      </c>
      <c r="M8" s="45">
        <f t="shared" si="2"/>
        <v>275000</v>
      </c>
      <c r="N8" s="45">
        <f t="shared" si="2"/>
        <v>302500</v>
      </c>
      <c r="O8" s="45">
        <f t="shared" ref="O8" si="3">O6*O7</f>
        <v>330000</v>
      </c>
    </row>
    <row r="9" spans="1:15" x14ac:dyDescent="0.3">
      <c r="A9" s="41"/>
      <c r="B9" s="34" t="s">
        <v>69</v>
      </c>
      <c r="C9" s="34">
        <f t="shared" ref="C9:D9" si="4">-(C6*35)</f>
        <v>-17500</v>
      </c>
      <c r="D9" s="34">
        <f t="shared" si="4"/>
        <v>-26250</v>
      </c>
      <c r="E9" s="34">
        <f>-(E6*35)</f>
        <v>-35000</v>
      </c>
      <c r="F9" s="34">
        <f t="shared" ref="F9:M9" si="5">-(F6*35)</f>
        <v>-52500</v>
      </c>
      <c r="G9" s="34">
        <f t="shared" si="5"/>
        <v>-70000</v>
      </c>
      <c r="H9" s="34">
        <f t="shared" si="5"/>
        <v>-87500</v>
      </c>
      <c r="I9" s="34">
        <f t="shared" si="5"/>
        <v>-105000</v>
      </c>
      <c r="J9" s="34">
        <f t="shared" si="5"/>
        <v>-122500</v>
      </c>
      <c r="K9" s="34">
        <f t="shared" si="5"/>
        <v>-140000</v>
      </c>
      <c r="L9" s="34">
        <f t="shared" si="5"/>
        <v>-157500</v>
      </c>
      <c r="M9" s="34">
        <f t="shared" si="5"/>
        <v>-175000</v>
      </c>
      <c r="N9" s="34">
        <f t="shared" ref="N9:O9" si="6">-(N6*35)</f>
        <v>-192500</v>
      </c>
      <c r="O9" s="34">
        <f t="shared" si="6"/>
        <v>-210000</v>
      </c>
    </row>
    <row r="10" spans="1:15" x14ac:dyDescent="0.3">
      <c r="A10" s="41"/>
      <c r="B10" s="42"/>
      <c r="C10" s="45">
        <f t="shared" ref="C10" si="7">SUM(C8:C9)</f>
        <v>10000</v>
      </c>
      <c r="D10" s="45">
        <f t="shared" ref="D10" si="8">SUM(D8:D9)</f>
        <v>15000</v>
      </c>
      <c r="E10" s="45">
        <f t="shared" ref="E10:N12" si="9">SUM(E8:E9)</f>
        <v>20000</v>
      </c>
      <c r="F10" s="45">
        <f t="shared" si="9"/>
        <v>30000</v>
      </c>
      <c r="G10" s="45">
        <f t="shared" si="9"/>
        <v>40000</v>
      </c>
      <c r="H10" s="45">
        <f t="shared" si="9"/>
        <v>50000</v>
      </c>
      <c r="I10" s="45">
        <f t="shared" si="9"/>
        <v>60000</v>
      </c>
      <c r="J10" s="45">
        <f t="shared" si="9"/>
        <v>70000</v>
      </c>
      <c r="K10" s="45">
        <f t="shared" si="9"/>
        <v>80000</v>
      </c>
      <c r="L10" s="45">
        <f t="shared" si="9"/>
        <v>90000</v>
      </c>
      <c r="M10" s="45">
        <f t="shared" si="9"/>
        <v>100000</v>
      </c>
      <c r="N10" s="45">
        <f t="shared" si="9"/>
        <v>110000</v>
      </c>
      <c r="O10" s="45">
        <f t="shared" ref="O10" si="10">SUM(O8:O9)</f>
        <v>120000</v>
      </c>
    </row>
    <row r="11" spans="1:15" x14ac:dyDescent="0.3">
      <c r="A11" s="41"/>
      <c r="B11" s="34" t="s">
        <v>71</v>
      </c>
      <c r="C11" s="34">
        <f t="shared" ref="C11:D11" si="11">-10000</f>
        <v>-10000</v>
      </c>
      <c r="D11" s="34">
        <f t="shared" si="11"/>
        <v>-10000</v>
      </c>
      <c r="E11" s="34">
        <f>-10000</f>
        <v>-10000</v>
      </c>
      <c r="F11" s="34">
        <f t="shared" ref="F11:O11" si="12">-10000</f>
        <v>-10000</v>
      </c>
      <c r="G11" s="34">
        <f t="shared" si="12"/>
        <v>-10000</v>
      </c>
      <c r="H11" s="34">
        <f t="shared" si="12"/>
        <v>-10000</v>
      </c>
      <c r="I11" s="34">
        <f t="shared" si="12"/>
        <v>-10000</v>
      </c>
      <c r="J11" s="34">
        <f t="shared" si="12"/>
        <v>-10000</v>
      </c>
      <c r="K11" s="34">
        <f t="shared" si="12"/>
        <v>-10000</v>
      </c>
      <c r="L11" s="34">
        <f t="shared" si="12"/>
        <v>-10000</v>
      </c>
      <c r="M11" s="34">
        <f t="shared" si="12"/>
        <v>-10000</v>
      </c>
      <c r="N11" s="34">
        <f t="shared" si="12"/>
        <v>-10000</v>
      </c>
      <c r="O11" s="34">
        <f t="shared" si="12"/>
        <v>-10000</v>
      </c>
    </row>
    <row r="12" spans="1:15" x14ac:dyDescent="0.3">
      <c r="A12" s="41"/>
      <c r="B12" s="42" t="s">
        <v>72</v>
      </c>
      <c r="C12" s="46">
        <f t="shared" ref="C12" si="13">SUM(C10:C11)</f>
        <v>0</v>
      </c>
      <c r="D12" s="46">
        <f t="shared" ref="D12" si="14">SUM(D10:D11)</f>
        <v>5000</v>
      </c>
      <c r="E12" s="46">
        <f t="shared" si="9"/>
        <v>10000</v>
      </c>
      <c r="F12" s="46">
        <f t="shared" ref="F12" si="15">SUM(F10:F11)</f>
        <v>20000</v>
      </c>
      <c r="G12" s="46">
        <f t="shared" ref="G12" si="16">SUM(G10:G11)</f>
        <v>30000</v>
      </c>
      <c r="H12" s="46">
        <f t="shared" ref="H12" si="17">SUM(H10:H11)</f>
        <v>40000</v>
      </c>
      <c r="I12" s="46">
        <f t="shared" ref="I12" si="18">SUM(I10:I11)</f>
        <v>50000</v>
      </c>
      <c r="J12" s="46">
        <f t="shared" ref="J12" si="19">SUM(J10:J11)</f>
        <v>60000</v>
      </c>
      <c r="K12" s="46">
        <f t="shared" ref="K12" si="20">SUM(K10:K11)</f>
        <v>70000</v>
      </c>
      <c r="L12" s="46">
        <f t="shared" ref="L12" si="21">SUM(L10:L11)</f>
        <v>80000</v>
      </c>
      <c r="M12" s="46">
        <f t="shared" ref="M12:N12" si="22">SUM(M10:M11)</f>
        <v>90000</v>
      </c>
      <c r="N12" s="46">
        <f t="shared" si="22"/>
        <v>100000</v>
      </c>
      <c r="O12" s="46">
        <f t="shared" ref="O12" si="23">SUM(O10:O11)</f>
        <v>110000</v>
      </c>
    </row>
    <row r="13" spans="1:15" x14ac:dyDescent="0.3">
      <c r="A13" s="41"/>
    </row>
    <row r="14" spans="1:15" x14ac:dyDescent="0.3">
      <c r="A14" s="41"/>
      <c r="B14" s="42" t="s">
        <v>98</v>
      </c>
      <c r="C14" s="42"/>
      <c r="D14" s="42"/>
    </row>
    <row r="15" spans="1:15" x14ac:dyDescent="0.3">
      <c r="A15" s="41"/>
    </row>
    <row r="16" spans="1:15" x14ac:dyDescent="0.3">
      <c r="A16" s="41"/>
      <c r="B16" s="43" t="s">
        <v>15</v>
      </c>
      <c r="C16" s="43" t="s">
        <v>58</v>
      </c>
      <c r="D16" s="43" t="s">
        <v>59</v>
      </c>
      <c r="E16" s="43" t="s">
        <v>60</v>
      </c>
      <c r="F16" s="43" t="s">
        <v>61</v>
      </c>
      <c r="G16" s="43" t="s">
        <v>62</v>
      </c>
      <c r="H16" s="43" t="s">
        <v>63</v>
      </c>
      <c r="I16" s="43" t="s">
        <v>64</v>
      </c>
      <c r="J16" s="43" t="s">
        <v>65</v>
      </c>
      <c r="K16" s="43" t="s">
        <v>66</v>
      </c>
      <c r="L16" s="43" t="s">
        <v>76</v>
      </c>
    </row>
    <row r="17" spans="1:12" x14ac:dyDescent="0.3">
      <c r="A17" s="41"/>
      <c r="B17" s="47" t="s">
        <v>73</v>
      </c>
    </row>
    <row r="18" spans="1:12" x14ac:dyDescent="0.3">
      <c r="A18" s="41"/>
      <c r="B18" s="48" t="s">
        <v>79</v>
      </c>
      <c r="C18" s="34">
        <f t="shared" ref="C18:K18" si="24">C8</f>
        <v>27500</v>
      </c>
      <c r="D18" s="34">
        <f t="shared" si="24"/>
        <v>41250</v>
      </c>
      <c r="E18" s="34">
        <f t="shared" si="24"/>
        <v>55000</v>
      </c>
      <c r="F18" s="34">
        <f t="shared" si="24"/>
        <v>82500</v>
      </c>
      <c r="G18" s="34">
        <f t="shared" si="24"/>
        <v>110000</v>
      </c>
      <c r="H18" s="34">
        <f t="shared" si="24"/>
        <v>137500</v>
      </c>
      <c r="I18" s="34">
        <f t="shared" si="24"/>
        <v>165000</v>
      </c>
      <c r="J18" s="34">
        <f t="shared" si="24"/>
        <v>192500</v>
      </c>
      <c r="K18" s="34">
        <f t="shared" si="24"/>
        <v>220000</v>
      </c>
      <c r="L18" s="34">
        <f>L8</f>
        <v>247500</v>
      </c>
    </row>
    <row r="19" spans="1:12" x14ac:dyDescent="0.3">
      <c r="A19" s="41"/>
      <c r="B19" s="48" t="s">
        <v>82</v>
      </c>
      <c r="C19" s="34">
        <v>0</v>
      </c>
      <c r="D19" s="34">
        <v>0</v>
      </c>
      <c r="E19" s="34">
        <v>0</v>
      </c>
      <c r="F19" s="34">
        <f>-F28</f>
        <v>2500</v>
      </c>
      <c r="G19" s="34">
        <f t="shared" ref="G19:L19" si="25">-G28</f>
        <v>22500</v>
      </c>
      <c r="H19" s="34">
        <f t="shared" si="25"/>
        <v>12500</v>
      </c>
      <c r="I19" s="34">
        <f t="shared" si="25"/>
        <v>2500</v>
      </c>
      <c r="J19" s="34">
        <v>0</v>
      </c>
      <c r="K19" s="34">
        <v>0</v>
      </c>
      <c r="L19" s="34">
        <v>0</v>
      </c>
    </row>
    <row r="20" spans="1:12" x14ac:dyDescent="0.3">
      <c r="A20" s="41"/>
      <c r="B20" s="42" t="s">
        <v>80</v>
      </c>
      <c r="C20" s="49">
        <f>SUM(C18:C19)</f>
        <v>27500</v>
      </c>
      <c r="D20" s="49">
        <f t="shared" ref="D20:K20" si="26">SUM(D18:D19)</f>
        <v>41250</v>
      </c>
      <c r="E20" s="49">
        <f t="shared" si="26"/>
        <v>55000</v>
      </c>
      <c r="F20" s="49">
        <f t="shared" si="26"/>
        <v>85000</v>
      </c>
      <c r="G20" s="49">
        <f t="shared" si="26"/>
        <v>132500</v>
      </c>
      <c r="H20" s="49">
        <f t="shared" si="26"/>
        <v>150000</v>
      </c>
      <c r="I20" s="49">
        <f t="shared" si="26"/>
        <v>167500</v>
      </c>
      <c r="J20" s="49">
        <f t="shared" si="26"/>
        <v>192500</v>
      </c>
      <c r="K20" s="49">
        <f t="shared" si="26"/>
        <v>220000</v>
      </c>
      <c r="L20" s="49">
        <f t="shared" ref="L20" si="27">SUM(L18:L19)</f>
        <v>247500</v>
      </c>
    </row>
    <row r="21" spans="1:12" x14ac:dyDescent="0.3">
      <c r="A21" s="41"/>
    </row>
    <row r="22" spans="1:12" x14ac:dyDescent="0.3">
      <c r="A22" s="41"/>
      <c r="B22" s="47" t="s">
        <v>74</v>
      </c>
    </row>
    <row r="23" spans="1:12" x14ac:dyDescent="0.3">
      <c r="A23" s="41"/>
      <c r="B23" s="48" t="s">
        <v>114</v>
      </c>
      <c r="C23" s="34">
        <f>(F6*35)+10000</f>
        <v>62500</v>
      </c>
      <c r="D23" s="34">
        <f t="shared" ref="C23:L23" si="28">(G6*35)+10000</f>
        <v>80000</v>
      </c>
      <c r="E23" s="34">
        <f t="shared" si="28"/>
        <v>97500</v>
      </c>
      <c r="F23" s="34">
        <f t="shared" si="28"/>
        <v>115000</v>
      </c>
      <c r="G23" s="34">
        <f t="shared" si="28"/>
        <v>132500</v>
      </c>
      <c r="H23" s="34">
        <f t="shared" si="28"/>
        <v>150000</v>
      </c>
      <c r="I23" s="34">
        <f t="shared" si="28"/>
        <v>167500</v>
      </c>
      <c r="J23" s="34">
        <f t="shared" si="28"/>
        <v>185000</v>
      </c>
      <c r="K23" s="34">
        <f t="shared" si="28"/>
        <v>202500</v>
      </c>
      <c r="L23" s="34">
        <f t="shared" si="28"/>
        <v>220000</v>
      </c>
    </row>
    <row r="24" spans="1:12" x14ac:dyDescent="0.3">
      <c r="A24" s="41"/>
      <c r="B24" s="48" t="s">
        <v>83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7500</v>
      </c>
      <c r="K24" s="34">
        <v>17499.999999999985</v>
      </c>
      <c r="L24" s="34">
        <f>SUM(F19:I19)-SUM(J24:K24)</f>
        <v>15000.000000000015</v>
      </c>
    </row>
    <row r="25" spans="1:12" x14ac:dyDescent="0.3">
      <c r="A25" s="41"/>
      <c r="B25" s="42" t="s">
        <v>81</v>
      </c>
      <c r="C25" s="49">
        <f>SUM(C23:C24)</f>
        <v>62500</v>
      </c>
      <c r="D25" s="49">
        <f t="shared" ref="C25:K25" si="29">SUM(D23:D24)</f>
        <v>80000</v>
      </c>
      <c r="E25" s="49">
        <f t="shared" si="29"/>
        <v>97500</v>
      </c>
      <c r="F25" s="49">
        <f t="shared" si="29"/>
        <v>115000</v>
      </c>
      <c r="G25" s="49">
        <f t="shared" si="29"/>
        <v>132500</v>
      </c>
      <c r="H25" s="49">
        <f t="shared" si="29"/>
        <v>150000</v>
      </c>
      <c r="I25" s="49">
        <f t="shared" si="29"/>
        <v>167500</v>
      </c>
      <c r="J25" s="49">
        <f t="shared" si="29"/>
        <v>192500</v>
      </c>
      <c r="K25" s="49">
        <f t="shared" si="29"/>
        <v>220000</v>
      </c>
      <c r="L25" s="49">
        <f t="shared" ref="L25" si="30">SUM(L23:L24)</f>
        <v>235000</v>
      </c>
    </row>
    <row r="26" spans="1:12" x14ac:dyDescent="0.3">
      <c r="A26" s="41"/>
      <c r="B26" s="50" t="s">
        <v>115</v>
      </c>
      <c r="C26" s="51">
        <f>C18-C23</f>
        <v>-35000</v>
      </c>
      <c r="D26" s="51">
        <f t="shared" ref="D26:L26" si="31">D18-D23</f>
        <v>-38750</v>
      </c>
      <c r="E26" s="51">
        <f t="shared" si="31"/>
        <v>-42500</v>
      </c>
      <c r="F26" s="51">
        <f t="shared" si="31"/>
        <v>-32500</v>
      </c>
      <c r="G26" s="51">
        <f t="shared" si="31"/>
        <v>-22500</v>
      </c>
      <c r="H26" s="51">
        <f t="shared" si="31"/>
        <v>-12500</v>
      </c>
      <c r="I26" s="51">
        <f t="shared" si="31"/>
        <v>-2500</v>
      </c>
      <c r="J26" s="51">
        <f t="shared" si="31"/>
        <v>7500</v>
      </c>
      <c r="K26" s="51">
        <f t="shared" si="31"/>
        <v>17500</v>
      </c>
      <c r="L26" s="51">
        <f t="shared" si="31"/>
        <v>27500</v>
      </c>
    </row>
    <row r="27" spans="1:12" x14ac:dyDescent="0.3">
      <c r="A27" s="41"/>
      <c r="B27" s="44" t="s">
        <v>75</v>
      </c>
      <c r="C27" s="52">
        <v>146250</v>
      </c>
      <c r="D27" s="52">
        <f>C28</f>
        <v>111250</v>
      </c>
      <c r="E27" s="52">
        <f t="shared" ref="D27:L27" si="32">D28</f>
        <v>72500</v>
      </c>
      <c r="F27" s="52">
        <f t="shared" si="32"/>
        <v>30000</v>
      </c>
      <c r="G27" s="52">
        <f>F29</f>
        <v>0</v>
      </c>
      <c r="H27" s="52">
        <f t="shared" ref="H27:L27" si="33">G29</f>
        <v>0</v>
      </c>
      <c r="I27" s="52">
        <f t="shared" si="33"/>
        <v>0</v>
      </c>
      <c r="J27" s="52">
        <f t="shared" si="33"/>
        <v>0</v>
      </c>
      <c r="K27" s="52">
        <f t="shared" si="33"/>
        <v>0</v>
      </c>
      <c r="L27" s="52">
        <f t="shared" si="33"/>
        <v>0</v>
      </c>
    </row>
    <row r="28" spans="1:12" x14ac:dyDescent="0.3">
      <c r="A28" s="41"/>
      <c r="B28" s="42" t="s">
        <v>116</v>
      </c>
      <c r="C28" s="46">
        <f>C26+C27</f>
        <v>111250</v>
      </c>
      <c r="D28" s="46">
        <f t="shared" ref="D28:K28" si="34">D26+D27</f>
        <v>72500</v>
      </c>
      <c r="E28" s="46">
        <f t="shared" si="34"/>
        <v>30000</v>
      </c>
      <c r="F28" s="46">
        <f t="shared" si="34"/>
        <v>-2500</v>
      </c>
      <c r="G28" s="46">
        <f t="shared" si="34"/>
        <v>-22500</v>
      </c>
      <c r="H28" s="46">
        <f t="shared" si="34"/>
        <v>-12500</v>
      </c>
      <c r="I28" s="46">
        <f t="shared" si="34"/>
        <v>-2500</v>
      </c>
      <c r="J28" s="46">
        <f t="shared" si="34"/>
        <v>7500</v>
      </c>
      <c r="K28" s="46">
        <f t="shared" si="34"/>
        <v>17500</v>
      </c>
      <c r="L28" s="53">
        <f t="shared" ref="L28" si="35">L26+L27</f>
        <v>27500</v>
      </c>
    </row>
    <row r="29" spans="1:12" x14ac:dyDescent="0.3">
      <c r="A29" s="41"/>
      <c r="B29" s="42" t="s">
        <v>117</v>
      </c>
      <c r="C29" s="42">
        <f>C28+C19-C24</f>
        <v>111250</v>
      </c>
      <c r="D29" s="42">
        <f t="shared" ref="D29:L29" si="36">D28+D19-D24</f>
        <v>72500</v>
      </c>
      <c r="E29" s="42">
        <f t="shared" si="36"/>
        <v>30000</v>
      </c>
      <c r="F29" s="42">
        <f t="shared" si="36"/>
        <v>0</v>
      </c>
      <c r="G29" s="42">
        <f t="shared" si="36"/>
        <v>0</v>
      </c>
      <c r="H29" s="42">
        <f t="shared" si="36"/>
        <v>0</v>
      </c>
      <c r="I29" s="42">
        <f t="shared" si="36"/>
        <v>0</v>
      </c>
      <c r="J29" s="42">
        <f t="shared" si="36"/>
        <v>0</v>
      </c>
      <c r="K29" s="42">
        <f t="shared" si="36"/>
        <v>0</v>
      </c>
      <c r="L29" s="42">
        <f t="shared" si="36"/>
        <v>12499.999999999985</v>
      </c>
    </row>
    <row r="30" spans="1:12" x14ac:dyDescent="0.3">
      <c r="A30" s="41"/>
    </row>
    <row r="31" spans="1:12" x14ac:dyDescent="0.3">
      <c r="A31" s="41"/>
      <c r="B31" s="54" t="s">
        <v>118</v>
      </c>
    </row>
    <row r="32" spans="1:12" x14ac:dyDescent="0.3">
      <c r="A32" s="41"/>
      <c r="B32" s="34" t="s">
        <v>119</v>
      </c>
    </row>
    <row r="35" spans="2:12" x14ac:dyDescent="0.3">
      <c r="B35" s="42" t="s">
        <v>103</v>
      </c>
    </row>
    <row r="36" spans="2:12" ht="15" customHeight="1" x14ac:dyDescent="0.3"/>
    <row r="37" spans="2:12" x14ac:dyDescent="0.3">
      <c r="B37" s="46"/>
      <c r="C37" s="43" t="s">
        <v>78</v>
      </c>
      <c r="D37" s="43" t="s">
        <v>58</v>
      </c>
      <c r="E37" s="43" t="s">
        <v>59</v>
      </c>
      <c r="F37" s="43" t="s">
        <v>60</v>
      </c>
      <c r="G37" s="43" t="s">
        <v>61</v>
      </c>
      <c r="H37" s="43" t="s">
        <v>62</v>
      </c>
      <c r="I37" s="43" t="s">
        <v>63</v>
      </c>
      <c r="J37" s="43" t="s">
        <v>64</v>
      </c>
      <c r="K37" s="43" t="s">
        <v>65</v>
      </c>
      <c r="L37" s="43" t="s">
        <v>66</v>
      </c>
    </row>
    <row r="38" spans="2:12" x14ac:dyDescent="0.3">
      <c r="B38" s="47" t="s">
        <v>100</v>
      </c>
    </row>
    <row r="39" spans="2:12" x14ac:dyDescent="0.3">
      <c r="B39" s="48" t="s">
        <v>86</v>
      </c>
      <c r="C39" s="34">
        <v>146250</v>
      </c>
      <c r="D39" s="34">
        <f>C28</f>
        <v>111250</v>
      </c>
      <c r="E39" s="34">
        <f t="shared" ref="E39:K39" si="37">D28</f>
        <v>72500</v>
      </c>
      <c r="F39" s="34">
        <f t="shared" si="37"/>
        <v>30000</v>
      </c>
      <c r="G39" s="34">
        <f>F29</f>
        <v>0</v>
      </c>
      <c r="H39" s="34">
        <f t="shared" ref="H39:L39" si="38">G29</f>
        <v>0</v>
      </c>
      <c r="I39" s="34">
        <f t="shared" si="38"/>
        <v>0</v>
      </c>
      <c r="J39" s="34">
        <f t="shared" si="38"/>
        <v>0</v>
      </c>
      <c r="K39" s="34">
        <f t="shared" si="38"/>
        <v>0</v>
      </c>
      <c r="L39" s="34">
        <f t="shared" si="38"/>
        <v>0</v>
      </c>
    </row>
    <row r="40" spans="2:12" x14ac:dyDescent="0.3">
      <c r="B40" s="48" t="s">
        <v>87</v>
      </c>
      <c r="C40" s="34">
        <v>68750</v>
      </c>
      <c r="D40" s="34">
        <f>D8+E8</f>
        <v>96250</v>
      </c>
      <c r="E40" s="34">
        <f t="shared" ref="E40:L40" si="39">E8+F8</f>
        <v>137500</v>
      </c>
      <c r="F40" s="34">
        <f t="shared" si="39"/>
        <v>192500</v>
      </c>
      <c r="G40" s="34">
        <f t="shared" si="39"/>
        <v>247500</v>
      </c>
      <c r="H40" s="34">
        <f t="shared" si="39"/>
        <v>302500</v>
      </c>
      <c r="I40" s="34">
        <f t="shared" si="39"/>
        <v>357500</v>
      </c>
      <c r="J40" s="34">
        <f t="shared" si="39"/>
        <v>412500</v>
      </c>
      <c r="K40" s="34">
        <f t="shared" si="39"/>
        <v>467500</v>
      </c>
      <c r="L40" s="34">
        <f t="shared" si="39"/>
        <v>522500</v>
      </c>
    </row>
    <row r="41" spans="2:12" x14ac:dyDescent="0.3">
      <c r="B41" s="48" t="s">
        <v>88</v>
      </c>
      <c r="C41" s="34">
        <v>35000</v>
      </c>
      <c r="D41" s="34">
        <f>-F9</f>
        <v>52500</v>
      </c>
      <c r="E41" s="34">
        <f t="shared" ref="E41:J41" si="40">-G9</f>
        <v>70000</v>
      </c>
      <c r="F41" s="34">
        <f t="shared" si="40"/>
        <v>87500</v>
      </c>
      <c r="G41" s="34">
        <f t="shared" si="40"/>
        <v>105000</v>
      </c>
      <c r="H41" s="34">
        <f t="shared" si="40"/>
        <v>122500</v>
      </c>
      <c r="I41" s="34">
        <f t="shared" si="40"/>
        <v>140000</v>
      </c>
      <c r="J41" s="34">
        <f t="shared" si="40"/>
        <v>157500</v>
      </c>
      <c r="K41" s="34">
        <f>-M9</f>
        <v>175000</v>
      </c>
      <c r="L41" s="34">
        <f>-N9</f>
        <v>192500</v>
      </c>
    </row>
    <row r="42" spans="2:12" x14ac:dyDescent="0.3">
      <c r="B42" s="55" t="s">
        <v>84</v>
      </c>
      <c r="C42" s="46">
        <f t="shared" ref="C42:K42" si="41">SUM(C39:C41)</f>
        <v>250000</v>
      </c>
      <c r="D42" s="46">
        <f t="shared" si="41"/>
        <v>260000</v>
      </c>
      <c r="E42" s="46">
        <f t="shared" si="41"/>
        <v>280000</v>
      </c>
      <c r="F42" s="46">
        <f t="shared" si="41"/>
        <v>310000</v>
      </c>
      <c r="G42" s="46">
        <f t="shared" si="41"/>
        <v>352500</v>
      </c>
      <c r="H42" s="46">
        <f t="shared" si="41"/>
        <v>425000</v>
      </c>
      <c r="I42" s="46">
        <f t="shared" si="41"/>
        <v>497500</v>
      </c>
      <c r="J42" s="46">
        <f t="shared" si="41"/>
        <v>570000</v>
      </c>
      <c r="K42" s="46">
        <f t="shared" si="41"/>
        <v>642500</v>
      </c>
      <c r="L42" s="46">
        <f>SUM(L39:L41)</f>
        <v>715000</v>
      </c>
    </row>
    <row r="43" spans="2:12" x14ac:dyDescent="0.3">
      <c r="B43" s="56" t="s">
        <v>99</v>
      </c>
    </row>
    <row r="44" spans="2:12" x14ac:dyDescent="0.3">
      <c r="B44" s="48" t="s">
        <v>91</v>
      </c>
      <c r="C44" s="34">
        <v>0</v>
      </c>
      <c r="D44" s="34">
        <v>0</v>
      </c>
      <c r="E44" s="34">
        <v>0</v>
      </c>
      <c r="F44" s="34">
        <v>0</v>
      </c>
      <c r="G44" s="34">
        <f>F19</f>
        <v>2500</v>
      </c>
      <c r="H44" s="34">
        <f>G44+G19</f>
        <v>25000</v>
      </c>
      <c r="I44" s="34">
        <f>H44+H19</f>
        <v>37500</v>
      </c>
      <c r="J44" s="34">
        <f>I44+I19</f>
        <v>40000</v>
      </c>
      <c r="K44" s="34">
        <f>J44-J24</f>
        <v>32500</v>
      </c>
      <c r="L44" s="34">
        <f>K44-K24</f>
        <v>15000.000000000015</v>
      </c>
    </row>
    <row r="45" spans="2:12" x14ac:dyDescent="0.3">
      <c r="B45" s="48" t="s">
        <v>89</v>
      </c>
      <c r="C45" s="34">
        <v>250000</v>
      </c>
      <c r="D45" s="34">
        <v>250000</v>
      </c>
      <c r="E45" s="34">
        <v>250000</v>
      </c>
      <c r="F45" s="34">
        <v>250000</v>
      </c>
      <c r="G45" s="34">
        <v>250000</v>
      </c>
      <c r="H45" s="34">
        <v>250000</v>
      </c>
      <c r="I45" s="34">
        <v>250000</v>
      </c>
      <c r="J45" s="34">
        <v>250000</v>
      </c>
      <c r="K45" s="34">
        <v>250000</v>
      </c>
      <c r="L45" s="34">
        <v>250000</v>
      </c>
    </row>
    <row r="46" spans="2:12" x14ac:dyDescent="0.3">
      <c r="B46" s="48" t="s">
        <v>90</v>
      </c>
      <c r="D46" s="34">
        <f>E12</f>
        <v>10000</v>
      </c>
      <c r="E46" s="34">
        <f t="shared" ref="E46:L46" si="42">D46+F12</f>
        <v>30000</v>
      </c>
      <c r="F46" s="34">
        <f t="shared" si="42"/>
        <v>60000</v>
      </c>
      <c r="G46" s="34">
        <f t="shared" si="42"/>
        <v>100000</v>
      </c>
      <c r="H46" s="34">
        <f t="shared" si="42"/>
        <v>150000</v>
      </c>
      <c r="I46" s="34">
        <f t="shared" si="42"/>
        <v>210000</v>
      </c>
      <c r="J46" s="34">
        <f t="shared" si="42"/>
        <v>280000</v>
      </c>
      <c r="K46" s="34">
        <f t="shared" si="42"/>
        <v>360000</v>
      </c>
      <c r="L46" s="34">
        <f t="shared" si="42"/>
        <v>450000</v>
      </c>
    </row>
    <row r="47" spans="2:12" x14ac:dyDescent="0.3">
      <c r="B47" s="55" t="s">
        <v>85</v>
      </c>
      <c r="C47" s="46">
        <f t="shared" ref="C47:K47" si="43">SUM(C44:C46)</f>
        <v>250000</v>
      </c>
      <c r="D47" s="46">
        <f t="shared" si="43"/>
        <v>260000</v>
      </c>
      <c r="E47" s="46">
        <f t="shared" si="43"/>
        <v>280000</v>
      </c>
      <c r="F47" s="46">
        <f t="shared" si="43"/>
        <v>310000</v>
      </c>
      <c r="G47" s="46">
        <f t="shared" si="43"/>
        <v>352500</v>
      </c>
      <c r="H47" s="46">
        <f t="shared" si="43"/>
        <v>425000</v>
      </c>
      <c r="I47" s="46">
        <f t="shared" si="43"/>
        <v>497500</v>
      </c>
      <c r="J47" s="46">
        <f t="shared" si="43"/>
        <v>570000</v>
      </c>
      <c r="K47" s="46">
        <f t="shared" si="43"/>
        <v>642500</v>
      </c>
      <c r="L47" s="46">
        <f>SUM(L44:L46)</f>
        <v>715000</v>
      </c>
    </row>
    <row r="52" spans="2:9" ht="15.75" customHeight="1" x14ac:dyDescent="0.3">
      <c r="B52" s="57" t="s">
        <v>101</v>
      </c>
      <c r="C52" s="57"/>
      <c r="D52" s="57"/>
      <c r="E52" s="57"/>
      <c r="F52" s="58"/>
      <c r="G52" s="59"/>
      <c r="H52" s="59"/>
      <c r="I52" s="59"/>
    </row>
    <row r="53" spans="2:9" ht="15.75" customHeight="1" x14ac:dyDescent="0.3">
      <c r="B53" s="58"/>
      <c r="C53" s="59"/>
      <c r="D53" s="59"/>
      <c r="E53" s="59"/>
      <c r="F53" s="59"/>
      <c r="G53" s="59"/>
      <c r="H53" s="59"/>
      <c r="I53" s="59"/>
    </row>
    <row r="54" spans="2:9" x14ac:dyDescent="0.3">
      <c r="B54" s="43"/>
      <c r="C54" s="43" t="s">
        <v>94</v>
      </c>
      <c r="D54" s="43" t="s">
        <v>95</v>
      </c>
      <c r="E54" s="43" t="s">
        <v>96</v>
      </c>
      <c r="F54" s="36"/>
    </row>
    <row r="55" spans="2:9" x14ac:dyDescent="0.3">
      <c r="B55" s="60" t="s">
        <v>1</v>
      </c>
      <c r="C55" s="36"/>
      <c r="D55" s="36"/>
      <c r="E55" s="36"/>
      <c r="F55" s="36"/>
    </row>
    <row r="56" spans="2:9" x14ac:dyDescent="0.3">
      <c r="B56" s="36" t="s">
        <v>2</v>
      </c>
      <c r="C56" s="36">
        <f>G12</f>
        <v>30000</v>
      </c>
      <c r="D56" s="36">
        <f>I12</f>
        <v>50000</v>
      </c>
      <c r="E56" s="36">
        <f>K12</f>
        <v>70000</v>
      </c>
      <c r="F56" s="36"/>
    </row>
    <row r="57" spans="2:9" x14ac:dyDescent="0.3">
      <c r="B57" s="36" t="s">
        <v>120</v>
      </c>
      <c r="C57" s="36">
        <f>-(F40-E40)</f>
        <v>-55000</v>
      </c>
      <c r="D57" s="36">
        <f>-(H40-G40)</f>
        <v>-55000</v>
      </c>
      <c r="E57" s="36">
        <f>-(J40-I40)</f>
        <v>-55000</v>
      </c>
      <c r="F57" s="36"/>
    </row>
    <row r="58" spans="2:9" x14ac:dyDescent="0.3">
      <c r="B58" s="36" t="s">
        <v>92</v>
      </c>
      <c r="C58" s="61">
        <f>-(F41-E41)</f>
        <v>-17500</v>
      </c>
      <c r="D58" s="61">
        <f>-(H41-G41)</f>
        <v>-17500</v>
      </c>
      <c r="E58" s="61">
        <f>-(J41-I41)</f>
        <v>-17500</v>
      </c>
      <c r="F58" s="36"/>
    </row>
    <row r="59" spans="2:9" x14ac:dyDescent="0.3">
      <c r="B59" s="36"/>
      <c r="C59" s="61"/>
      <c r="D59" s="61"/>
      <c r="E59" s="61"/>
      <c r="F59" s="36"/>
    </row>
    <row r="60" spans="2:9" x14ac:dyDescent="0.3">
      <c r="B60" s="60" t="s">
        <v>8</v>
      </c>
      <c r="C60" s="61">
        <v>0</v>
      </c>
      <c r="D60" s="61">
        <v>0</v>
      </c>
      <c r="E60" s="61">
        <v>0</v>
      </c>
      <c r="F60" s="36"/>
    </row>
    <row r="61" spans="2:9" x14ac:dyDescent="0.3">
      <c r="B61" s="36"/>
    </row>
    <row r="62" spans="2:9" x14ac:dyDescent="0.3">
      <c r="B62" s="60" t="s">
        <v>9</v>
      </c>
      <c r="C62" s="36"/>
      <c r="D62" s="36"/>
      <c r="E62" s="36"/>
      <c r="F62" s="36"/>
    </row>
    <row r="63" spans="2:9" x14ac:dyDescent="0.3">
      <c r="B63" s="36" t="s">
        <v>93</v>
      </c>
      <c r="C63" s="36">
        <f>F44</f>
        <v>0</v>
      </c>
      <c r="D63" s="36">
        <f>H44-G44</f>
        <v>22500</v>
      </c>
      <c r="E63" s="36">
        <f>J44-I44</f>
        <v>2500</v>
      </c>
      <c r="F63" s="36"/>
    </row>
    <row r="64" spans="2:9" x14ac:dyDescent="0.3">
      <c r="B64" s="36"/>
      <c r="C64" s="36"/>
      <c r="D64" s="36"/>
      <c r="E64" s="36"/>
      <c r="F64" s="36"/>
    </row>
    <row r="65" spans="2:6" x14ac:dyDescent="0.3">
      <c r="B65" s="60" t="s">
        <v>10</v>
      </c>
      <c r="C65" s="36">
        <f>SUM(C56:C63)</f>
        <v>-42500</v>
      </c>
      <c r="D65" s="36">
        <f>SUM(D56:D63)</f>
        <v>0</v>
      </c>
      <c r="E65" s="36">
        <f>SUM(E56:E63)</f>
        <v>0</v>
      </c>
      <c r="F65" s="36"/>
    </row>
    <row r="66" spans="2:6" x14ac:dyDescent="0.3">
      <c r="B66" s="36" t="s">
        <v>11</v>
      </c>
      <c r="C66" s="36">
        <f>E27</f>
        <v>72500</v>
      </c>
      <c r="D66" s="36">
        <f>G27</f>
        <v>0</v>
      </c>
      <c r="E66" s="36">
        <f>I27</f>
        <v>0</v>
      </c>
      <c r="F66" s="36"/>
    </row>
    <row r="67" spans="2:6" ht="14.5" thickBot="1" x14ac:dyDescent="0.35">
      <c r="B67" s="36" t="s">
        <v>12</v>
      </c>
      <c r="C67" s="37">
        <f>C65+C66</f>
        <v>30000</v>
      </c>
      <c r="D67" s="37">
        <f>D65+D66</f>
        <v>0</v>
      </c>
      <c r="E67" s="37">
        <f>E65+E66</f>
        <v>0</v>
      </c>
      <c r="F67" s="36"/>
    </row>
    <row r="68" spans="2:6" ht="14.5" thickTop="1" x14ac:dyDescent="0.3"/>
  </sheetData>
  <mergeCells count="1">
    <mergeCell ref="B52:E5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zoomScale="120" zoomScaleNormal="120" workbookViewId="0"/>
  </sheetViews>
  <sheetFormatPr defaultColWidth="9.1796875" defaultRowHeight="14" x14ac:dyDescent="0.3"/>
  <cols>
    <col min="1" max="1" width="60.26953125" style="9" bestFit="1" customWidth="1"/>
    <col min="2" max="3" width="8.81640625" style="9" bestFit="1" customWidth="1"/>
    <col min="4" max="6" width="9.1796875" style="9"/>
    <col min="7" max="8" width="9.81640625" style="9" bestFit="1" customWidth="1"/>
    <col min="9" max="16384" width="9.1796875" style="9"/>
  </cols>
  <sheetData>
    <row r="1" spans="1:8" x14ac:dyDescent="0.3">
      <c r="A1" s="18" t="s">
        <v>44</v>
      </c>
    </row>
    <row r="4" spans="1:8" ht="31.5" customHeight="1" x14ac:dyDescent="0.3">
      <c r="A4" s="30" t="s">
        <v>102</v>
      </c>
      <c r="B4" s="30"/>
      <c r="C4" s="30"/>
      <c r="D4" s="23"/>
      <c r="E4" s="23"/>
      <c r="F4" s="23"/>
      <c r="G4" s="23"/>
      <c r="H4" s="23"/>
    </row>
    <row r="5" spans="1:8" ht="15" customHeight="1" x14ac:dyDescent="0.3">
      <c r="A5" s="22"/>
      <c r="B5" s="22"/>
      <c r="C5" s="22"/>
      <c r="D5" s="23"/>
      <c r="E5" s="23"/>
      <c r="F5" s="23"/>
      <c r="G5" s="23"/>
      <c r="H5" s="23"/>
    </row>
    <row r="6" spans="1:8" x14ac:dyDescent="0.3">
      <c r="A6" s="11"/>
      <c r="B6" s="33" t="s">
        <v>0</v>
      </c>
      <c r="C6" s="33"/>
      <c r="D6" s="13"/>
      <c r="E6" s="13"/>
      <c r="F6" s="13"/>
    </row>
    <row r="7" spans="1:8" x14ac:dyDescent="0.3">
      <c r="A7" s="14" t="s">
        <v>1</v>
      </c>
      <c r="B7" s="13"/>
      <c r="C7" s="13"/>
    </row>
    <row r="8" spans="1:8" x14ac:dyDescent="0.3">
      <c r="A8" s="13" t="s">
        <v>2</v>
      </c>
      <c r="B8" s="13">
        <v>328773</v>
      </c>
      <c r="C8" s="13"/>
    </row>
    <row r="9" spans="1:8" x14ac:dyDescent="0.3">
      <c r="A9" s="13" t="s">
        <v>3</v>
      </c>
      <c r="B9" s="13"/>
      <c r="C9" s="13"/>
    </row>
    <row r="10" spans="1:8" x14ac:dyDescent="0.3">
      <c r="A10" s="27" t="s">
        <v>4</v>
      </c>
      <c r="B10" s="13">
        <v>115974</v>
      </c>
      <c r="C10" s="13"/>
    </row>
    <row r="11" spans="1:8" x14ac:dyDescent="0.3">
      <c r="A11" s="27" t="s">
        <v>45</v>
      </c>
      <c r="B11" s="13">
        <v>66046</v>
      </c>
      <c r="C11" s="13"/>
    </row>
    <row r="12" spans="1:8" x14ac:dyDescent="0.3">
      <c r="A12" s="27" t="s">
        <v>46</v>
      </c>
      <c r="B12" s="13">
        <v>-59610</v>
      </c>
      <c r="C12" s="13"/>
    </row>
    <row r="13" spans="1:8" x14ac:dyDescent="0.3">
      <c r="C13" s="13"/>
    </row>
    <row r="14" spans="1:8" x14ac:dyDescent="0.3">
      <c r="A14" s="13" t="s">
        <v>5</v>
      </c>
      <c r="B14" s="13"/>
      <c r="C14" s="13"/>
    </row>
    <row r="15" spans="1:8" x14ac:dyDescent="0.3">
      <c r="A15" s="27"/>
      <c r="B15" s="13"/>
      <c r="C15" s="13"/>
    </row>
    <row r="16" spans="1:8" x14ac:dyDescent="0.3">
      <c r="A16" s="13" t="s">
        <v>6</v>
      </c>
      <c r="B16" s="13"/>
      <c r="C16" s="13"/>
    </row>
    <row r="17" spans="1:3" x14ac:dyDescent="0.3">
      <c r="A17" s="27" t="s">
        <v>7</v>
      </c>
      <c r="B17" s="13">
        <f>687325-756152</f>
        <v>-68827</v>
      </c>
      <c r="C17" s="13"/>
    </row>
    <row r="18" spans="1:3" x14ac:dyDescent="0.3">
      <c r="A18" s="27" t="s">
        <v>54</v>
      </c>
      <c r="B18" s="13">
        <f>1225402-1244912</f>
        <v>-19510</v>
      </c>
      <c r="C18" s="13"/>
    </row>
    <row r="19" spans="1:3" x14ac:dyDescent="0.3">
      <c r="A19" s="27" t="s">
        <v>55</v>
      </c>
      <c r="B19" s="13">
        <f>77167-76140</f>
        <v>1027</v>
      </c>
      <c r="C19" s="13"/>
    </row>
    <row r="20" spans="1:3" x14ac:dyDescent="0.3">
      <c r="A20" s="27" t="s">
        <v>25</v>
      </c>
      <c r="B20" s="13">
        <f>271452-238377</f>
        <v>33075</v>
      </c>
      <c r="C20" s="13"/>
    </row>
    <row r="21" spans="1:3" x14ac:dyDescent="0.3">
      <c r="A21" s="17" t="s">
        <v>121</v>
      </c>
      <c r="B21" s="13">
        <v>-17548</v>
      </c>
      <c r="C21" s="13"/>
    </row>
    <row r="22" spans="1:3" x14ac:dyDescent="0.3">
      <c r="A22" s="27" t="s">
        <v>56</v>
      </c>
      <c r="B22" s="15">
        <f>922990-728262</f>
        <v>194728</v>
      </c>
      <c r="C22" s="13">
        <f>SUM(B8:B22)</f>
        <v>574128</v>
      </c>
    </row>
    <row r="23" spans="1:3" x14ac:dyDescent="0.3">
      <c r="A23" s="13"/>
      <c r="B23" s="13"/>
      <c r="C23" s="13"/>
    </row>
    <row r="24" spans="1:3" x14ac:dyDescent="0.3">
      <c r="A24" s="14" t="s">
        <v>8</v>
      </c>
      <c r="B24" s="13"/>
      <c r="C24" s="13"/>
    </row>
    <row r="25" spans="1:3" x14ac:dyDescent="0.3">
      <c r="A25" s="27" t="s">
        <v>47</v>
      </c>
      <c r="B25" s="13">
        <v>-260075</v>
      </c>
      <c r="C25" s="13"/>
    </row>
    <row r="26" spans="1:3" x14ac:dyDescent="0.3">
      <c r="A26" s="17" t="s">
        <v>48</v>
      </c>
      <c r="B26" s="20">
        <v>33162</v>
      </c>
      <c r="C26" s="13"/>
    </row>
    <row r="27" spans="1:3" x14ac:dyDescent="0.3">
      <c r="A27" s="17" t="s">
        <v>49</v>
      </c>
      <c r="B27" s="15">
        <f>-(31691+102030)</f>
        <v>-133721</v>
      </c>
      <c r="C27" s="13">
        <f>SUM(B25:B27)</f>
        <v>-360634</v>
      </c>
    </row>
    <row r="28" spans="1:3" x14ac:dyDescent="0.3">
      <c r="B28" s="13"/>
      <c r="C28" s="13"/>
    </row>
    <row r="29" spans="1:3" x14ac:dyDescent="0.3">
      <c r="A29" s="14" t="s">
        <v>9</v>
      </c>
      <c r="B29" s="13"/>
      <c r="C29" s="13"/>
    </row>
    <row r="30" spans="1:3" x14ac:dyDescent="0.3">
      <c r="A30" s="27" t="s">
        <v>50</v>
      </c>
      <c r="B30" s="13">
        <v>-216158</v>
      </c>
      <c r="C30" s="13"/>
    </row>
    <row r="31" spans="1:3" x14ac:dyDescent="0.3">
      <c r="A31" s="17" t="s">
        <v>51</v>
      </c>
      <c r="B31" s="13">
        <v>-30609</v>
      </c>
      <c r="C31" s="13"/>
    </row>
    <row r="32" spans="1:3" x14ac:dyDescent="0.3">
      <c r="A32" s="27" t="s">
        <v>52</v>
      </c>
      <c r="B32" s="13">
        <f>430776-351112</f>
        <v>79664</v>
      </c>
      <c r="C32" s="13"/>
    </row>
    <row r="33" spans="1:8" x14ac:dyDescent="0.3">
      <c r="A33" s="27" t="s">
        <v>53</v>
      </c>
      <c r="B33" s="15">
        <v>-34606</v>
      </c>
      <c r="C33" s="13">
        <f>SUM(B30:B33)</f>
        <v>-201709</v>
      </c>
    </row>
    <row r="34" spans="1:8" x14ac:dyDescent="0.3">
      <c r="A34" s="13"/>
      <c r="B34" s="20"/>
      <c r="C34" s="13"/>
    </row>
    <row r="35" spans="1:8" x14ac:dyDescent="0.3">
      <c r="A35" s="8" t="s">
        <v>57</v>
      </c>
      <c r="B35" s="13"/>
      <c r="C35" s="13">
        <v>-6825</v>
      </c>
    </row>
    <row r="36" spans="1:8" x14ac:dyDescent="0.3">
      <c r="B36" s="13"/>
      <c r="C36" s="13"/>
    </row>
    <row r="37" spans="1:8" x14ac:dyDescent="0.3">
      <c r="A37" s="14" t="s">
        <v>10</v>
      </c>
      <c r="B37" s="13"/>
      <c r="C37" s="13">
        <f>SUM(C22:C35)</f>
        <v>4960</v>
      </c>
    </row>
    <row r="38" spans="1:8" x14ac:dyDescent="0.3">
      <c r="A38" s="13" t="s">
        <v>11</v>
      </c>
      <c r="B38" s="13"/>
      <c r="C38" s="13">
        <v>23952</v>
      </c>
    </row>
    <row r="39" spans="1:8" ht="14.5" thickBot="1" x14ac:dyDescent="0.35">
      <c r="A39" s="13" t="s">
        <v>12</v>
      </c>
      <c r="B39" s="13"/>
      <c r="C39" s="16">
        <f>SUM(C37:C38)</f>
        <v>28912</v>
      </c>
    </row>
    <row r="40" spans="1:8" ht="14.5" thickTop="1" x14ac:dyDescent="0.3"/>
    <row r="41" spans="1:8" x14ac:dyDescent="0.3">
      <c r="H41" s="19"/>
    </row>
  </sheetData>
  <mergeCells count="2">
    <mergeCell ref="B6:C6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Q-1</vt:lpstr>
      <vt:lpstr>Q-2</vt:lpstr>
      <vt:lpstr>Q-3</vt:lpstr>
      <vt:lpstr>Q-4</vt:lpstr>
      <vt:lpstr>Q-5</vt:lpstr>
      <vt:lpstr>Case 11-1 Medieval Adventures </vt:lpstr>
      <vt:lpstr>Case 11-2 Amerbran Company 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Neerav</cp:lastModifiedBy>
  <dcterms:created xsi:type="dcterms:W3CDTF">2020-04-09T15:21:46Z</dcterms:created>
  <dcterms:modified xsi:type="dcterms:W3CDTF">2020-04-13T11:33:51Z</dcterms:modified>
</cp:coreProperties>
</file>