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 Sheet" sheetId="1" r:id="rId4"/>
    <sheet state="visible" name="Com Plans" sheetId="2" r:id="rId5"/>
    <sheet state="visible" name="Com Plan Ext" sheetId="3" r:id="rId6"/>
    <sheet state="visible" name="Wage Comp" sheetId="4" r:id="rId7"/>
    <sheet state="visible" name="Wage Comp Ext1" sheetId="5" r:id="rId8"/>
    <sheet state="visible" name="Wage Comp Ext2" sheetId="6" r:id="rId9"/>
    <sheet state="visible" name="Freq Flyer" sheetId="7" r:id="rId10"/>
    <sheet state="visible" name="DB Queries" sheetId="8" r:id="rId11"/>
    <sheet state="visible" name="Board Exam" sheetId="9" r:id="rId12"/>
    <sheet state="visible" name="Forbes-Data" sheetId="10" r:id="rId13"/>
    <sheet state="visible" name="Fruit Price" sheetId="11" r:id="rId14"/>
  </sheets>
  <externalReferences>
    <externalReference r:id="rId15"/>
    <externalReference r:id="rId16"/>
  </externalReferences>
  <definedNames>
    <definedName name="FT100db">#REF!</definedName>
    <definedName name="db">'DB Queries'!$A$1:$H$11</definedName>
    <definedName name="marks_db">'Board Exam'!$B$2:$I$89</definedName>
    <definedName name="forbesdb">'Forbes-Data'!$A$4:$H$104</definedName>
    <definedName localSheetId="7" name="solver_opt">'DB Queries'!$M$28</definedName>
  </definedNames>
  <calcPr/>
  <pivotCaches>
    <pivotCache cacheId="0" r:id="rId17"/>
  </pivotCaches>
</workbook>
</file>

<file path=xl/sharedStrings.xml><?xml version="1.0" encoding="utf-8"?>
<sst xmlns="http://schemas.openxmlformats.org/spreadsheetml/2006/main" count="1097" uniqueCount="612">
  <si>
    <t>LOOKUP FUNCTIONS:</t>
  </si>
  <si>
    <t>Produce ID</t>
  </si>
  <si>
    <t>Price</t>
  </si>
  <si>
    <t>Count</t>
  </si>
  <si>
    <t>VLOOKUP(16,B3:D9,3,1)</t>
  </si>
  <si>
    <t>LOOKUP(30,I2:I10,J2:J10)</t>
  </si>
  <si>
    <t>VLOOKUP(24,B3:D9,3)</t>
  </si>
  <si>
    <t>LOOKUP(22,I2:I10,K2:K10)</t>
  </si>
  <si>
    <t>Return the value propotionately of last column of range</t>
  </si>
  <si>
    <t>VLOOKUP(5,B3:D9,2)</t>
  </si>
  <si>
    <t>LOOKUP(22,I2:J10)</t>
  </si>
  <si>
    <t>Return value of lesser range</t>
  </si>
  <si>
    <t>VLOOKUP(30,B3:D9,3,0)</t>
  </si>
  <si>
    <t>LOOKUP(10,I2:I10,M2:U2)</t>
  </si>
  <si>
    <t>Return the value of same number of row in selected column</t>
  </si>
  <si>
    <t>VLOOKUP(43,B3:D9,2)</t>
  </si>
  <si>
    <t>Returns the value of desired column number as specified</t>
  </si>
  <si>
    <t>Look up a certain value and return the value in the adjacent column or LAST colum of the range selected</t>
  </si>
  <si>
    <t>best to use apprx value if arranged in ascending order</t>
  </si>
  <si>
    <t>0=False (exact) 1= True (approx - always take lesser value  in the table)</t>
  </si>
  <si>
    <t>INDEX FUNCTIONS</t>
  </si>
  <si>
    <t>MATCH FUNCTIONS</t>
  </si>
  <si>
    <t>INDEX(RANGE, ROW No, COL No, Area No)</t>
  </si>
  <si>
    <t>MATCH(Value, Range, 1=less, 0-Exact, -1=Greater)</t>
  </si>
  <si>
    <t>Produce</t>
  </si>
  <si>
    <t>Less is for ascending order</t>
  </si>
  <si>
    <t>Apple</t>
  </si>
  <si>
    <t>MATCH(39,L20:L28, 1)</t>
  </si>
  <si>
    <t>Greater is for descending order</t>
  </si>
  <si>
    <t>Banana</t>
  </si>
  <si>
    <t>INDEX(A22:C26,2,3)</t>
  </si>
  <si>
    <t>Return the value in Row number, Column Number</t>
  </si>
  <si>
    <t>Arranged in ascending order, look for value less than</t>
  </si>
  <si>
    <t>Lemon</t>
  </si>
  <si>
    <t>INDEX(A22:C26,3, 3)</t>
  </si>
  <si>
    <t>MATCH(22,N20:N28,-1)</t>
  </si>
  <si>
    <t>Orange</t>
  </si>
  <si>
    <t>INDEX(A22:A30,5)</t>
  </si>
  <si>
    <t>Arranged in descending order, look value greater than</t>
  </si>
  <si>
    <t>Pear</t>
  </si>
  <si>
    <t>Almond</t>
  </si>
  <si>
    <t>INDEX(A22:C22,3)</t>
  </si>
  <si>
    <t>Cashew</t>
  </si>
  <si>
    <t>Return the row number, in the column selected with criteria</t>
  </si>
  <si>
    <t>Peanut</t>
  </si>
  <si>
    <t>INDEX((A21:C26,A28:C30),3,1,1)</t>
  </si>
  <si>
    <t>Area e.g.</t>
  </si>
  <si>
    <t>Walnut</t>
  </si>
  <si>
    <t>SUM(INDEX(A21:C29,0,3))</t>
  </si>
  <si>
    <t>Add all the values in last colum of selected range</t>
  </si>
  <si>
    <t>OFFSET and SUM OFFSET</t>
  </si>
  <si>
    <t>Apples</t>
  </si>
  <si>
    <t>MATCH("Pears",L31:L39,0)</t>
  </si>
  <si>
    <t>0 = Exact value only</t>
  </si>
  <si>
    <t>Bananas</t>
  </si>
  <si>
    <t>Lemons</t>
  </si>
  <si>
    <t>Oranges</t>
  </si>
  <si>
    <t>Pears</t>
  </si>
  <si>
    <t>Almonds</t>
  </si>
  <si>
    <t>Cashews</t>
  </si>
  <si>
    <t>OFFSET(C34, 1, 1)</t>
  </si>
  <si>
    <t>Return the value which is 1 row below and 1 colum right of ref value</t>
  </si>
  <si>
    <t>Peanuts</t>
  </si>
  <si>
    <t>OFFSET(A33:D36, 2,2, 1, 1)</t>
  </si>
  <si>
    <t>Return the vaue only as above 2 row below and 2 column right of ref value</t>
  </si>
  <si>
    <t>Walnuts</t>
  </si>
  <si>
    <t>SUM(OFFSET(B33:D36, 1,1, 2, 2))</t>
  </si>
  <si>
    <t>Return the sum of all values which are 2 row below and 2 column right of offset value</t>
  </si>
  <si>
    <t>Value can be negative - Row to up and Column to left</t>
  </si>
  <si>
    <t>STRING Functions</t>
  </si>
  <si>
    <t>CATBATMAT</t>
  </si>
  <si>
    <t>FIND</t>
  </si>
  <si>
    <t>It finds the starting location of any string, we can also define the start position</t>
  </si>
  <si>
    <t>SEARCH</t>
  </si>
  <si>
    <t>It is not case sensitive, while FIND is case sensitive</t>
  </si>
  <si>
    <t>REPLACE</t>
  </si>
  <si>
    <t>Replace the characters from a string and replaced with another string, You can define the start position and how many characters to be replaced</t>
  </si>
  <si>
    <t>SUBSTITUTE</t>
  </si>
  <si>
    <t>Replace the any specific string with other string, it is case sensitive</t>
  </si>
  <si>
    <t>RIGHT</t>
  </si>
  <si>
    <t>Allows you to get the defined numbers of Character from right side</t>
  </si>
  <si>
    <t>LEFT</t>
  </si>
  <si>
    <t>Allows you to get the defined numbers of Character from left side</t>
  </si>
  <si>
    <t>MID</t>
  </si>
  <si>
    <t>Allows you to go any specific position and then get the defined numbers of Character</t>
  </si>
  <si>
    <t>TEXT</t>
  </si>
  <si>
    <t>Convert a Number to a TEXT</t>
  </si>
  <si>
    <t>VALUE</t>
  </si>
  <si>
    <t>Converts Text into value</t>
  </si>
  <si>
    <t>CONCATENATE</t>
  </si>
  <si>
    <t>Add two strings together</t>
  </si>
  <si>
    <t>DOLLAR(35)</t>
  </si>
  <si>
    <t>Add the Corrency symbol</t>
  </si>
  <si>
    <t>CHAR(65)</t>
  </si>
  <si>
    <t>Gives the ASCI Value of number</t>
  </si>
  <si>
    <t>A-Z is 65-90</t>
  </si>
  <si>
    <t>GY</t>
  </si>
  <si>
    <t>CODE</t>
  </si>
  <si>
    <t>Gives the ASCI number of a TEXT - Only 1 character at a time</t>
  </si>
  <si>
    <t>abc123</t>
  </si>
  <si>
    <t>LENGTH</t>
  </si>
  <si>
    <t>Length of the String</t>
  </si>
  <si>
    <t>ansd</t>
  </si>
  <si>
    <t>LOWER</t>
  </si>
  <si>
    <t>UPPER</t>
  </si>
  <si>
    <t>PROPER</t>
  </si>
  <si>
    <t>EXACT</t>
  </si>
  <si>
    <t>Match the 2 text strings and case senstitive</t>
  </si>
  <si>
    <t>the cat  bought a     mat</t>
  </si>
  <si>
    <t>TRIM</t>
  </si>
  <si>
    <t>Remove the extra spaces</t>
  </si>
  <si>
    <t>A</t>
  </si>
  <si>
    <t>REPEAT</t>
  </si>
  <si>
    <t>Repeat a string any number of times</t>
  </si>
  <si>
    <t>Plan A</t>
  </si>
  <si>
    <t>Plan B</t>
  </si>
  <si>
    <t>Data Table-1</t>
  </si>
  <si>
    <t>Common Data</t>
  </si>
  <si>
    <t>Sales Com</t>
  </si>
  <si>
    <t>Sales Volume vs Net Income</t>
  </si>
  <si>
    <t>Volume-1</t>
  </si>
  <si>
    <t>c14</t>
  </si>
  <si>
    <t>f15</t>
  </si>
  <si>
    <t>g15</t>
  </si>
  <si>
    <t>Data Table-2</t>
  </si>
  <si>
    <t>Unit r.m cost</t>
  </si>
  <si>
    <t>com-1/unit</t>
  </si>
  <si>
    <t>Sales Volume and Advertising vs Net Income</t>
  </si>
  <si>
    <t>Unit util cost</t>
  </si>
  <si>
    <t>Volume-2</t>
  </si>
  <si>
    <t>Unit price</t>
  </si>
  <si>
    <t>com-2/unit</t>
  </si>
  <si>
    <t>Rent</t>
  </si>
  <si>
    <t>Total fixed Cost</t>
  </si>
  <si>
    <t>Salaries</t>
  </si>
  <si>
    <t>Total rm cost</t>
  </si>
  <si>
    <t>Advertising</t>
  </si>
  <si>
    <t>Tot util cost</t>
  </si>
  <si>
    <t>Other Fixed Costs</t>
  </si>
  <si>
    <t>tot sales com.</t>
  </si>
  <si>
    <t>total cost</t>
  </si>
  <si>
    <t>No. of Units sold</t>
  </si>
  <si>
    <t>total sales rev</t>
  </si>
  <si>
    <t>Net Income</t>
  </si>
  <si>
    <t>Sensitivity Analysis in Data Table 1</t>
  </si>
  <si>
    <t>Q1</t>
  </si>
  <si>
    <t>Break even sales</t>
  </si>
  <si>
    <t>for Plan A - 85000 Units</t>
  </si>
  <si>
    <t>for Plan B - 84000 Units</t>
  </si>
  <si>
    <t>Q2</t>
  </si>
  <si>
    <t>The Sales volume at which both plans yield same value</t>
  </si>
  <si>
    <t>Both yield same value of 28,000 @92000 units</t>
  </si>
  <si>
    <t>Ad cost</t>
  </si>
  <si>
    <t>Ad exp vs Sales</t>
  </si>
  <si>
    <t>Sales</t>
  </si>
  <si>
    <t>Adv exp</t>
  </si>
  <si>
    <t>Wage Computation Example</t>
  </si>
  <si>
    <t>Std Rt(Pcs/hr)</t>
  </si>
  <si>
    <t>Inct rt (Rs/piece)</t>
  </si>
  <si>
    <t>Emp</t>
  </si>
  <si>
    <t>Basic</t>
  </si>
  <si>
    <t>Hrs</t>
  </si>
  <si>
    <t>Pcs</t>
  </si>
  <si>
    <t xml:space="preserve">Extra </t>
  </si>
  <si>
    <t>Pay</t>
  </si>
  <si>
    <t>Code</t>
  </si>
  <si>
    <t>Wage</t>
  </si>
  <si>
    <t>Worked</t>
  </si>
  <si>
    <t>produced</t>
  </si>
  <si>
    <t>production</t>
  </si>
  <si>
    <t>regular</t>
  </si>
  <si>
    <t>inctv</t>
  </si>
  <si>
    <t>total</t>
  </si>
  <si>
    <t>(Rs/hr)</t>
  </si>
  <si>
    <t>(Rs)</t>
  </si>
  <si>
    <t>E1</t>
  </si>
  <si>
    <t>E2</t>
  </si>
  <si>
    <t>E3</t>
  </si>
  <si>
    <t>E4</t>
  </si>
  <si>
    <t>E5</t>
  </si>
  <si>
    <t>Totals:</t>
  </si>
  <si>
    <t>Inc/total as %</t>
  </si>
  <si>
    <t>Emp Type</t>
  </si>
  <si>
    <t>Basic Wage</t>
  </si>
  <si>
    <t>Type</t>
  </si>
  <si>
    <t>B</t>
  </si>
  <si>
    <t>C</t>
  </si>
  <si>
    <t>D</t>
  </si>
  <si>
    <t>E</t>
  </si>
  <si>
    <t>Range of Pscore</t>
  </si>
  <si>
    <t>Pscore</t>
  </si>
  <si>
    <t>Column position of class</t>
  </si>
  <si>
    <t>City</t>
  </si>
  <si>
    <t>Executive</t>
  </si>
  <si>
    <t>Economy</t>
  </si>
  <si>
    <t>Vadodara</t>
  </si>
  <si>
    <t>Mumbai</t>
  </si>
  <si>
    <t>Jaipur</t>
  </si>
  <si>
    <t>Flying Point</t>
  </si>
  <si>
    <t>Delhi</t>
  </si>
  <si>
    <t>class</t>
  </si>
  <si>
    <t>position</t>
  </si>
  <si>
    <t>Hyderabad</t>
  </si>
  <si>
    <t>Free travel</t>
  </si>
  <si>
    <t>Yes or No</t>
  </si>
  <si>
    <t>Muscat</t>
  </si>
  <si>
    <t>Farthest City</t>
  </si>
  <si>
    <t>Which city you can go</t>
  </si>
  <si>
    <t>Sharjah</t>
  </si>
  <si>
    <t>Balance Pts</t>
  </si>
  <si>
    <t>How many balance points will be there</t>
  </si>
  <si>
    <t>Kuwait</t>
  </si>
  <si>
    <t>Bangalore</t>
  </si>
  <si>
    <t>Bhubneshwar</t>
  </si>
  <si>
    <t>alternate solution</t>
  </si>
  <si>
    <t>Kolkata</t>
  </si>
  <si>
    <t>Offset is used to define the class</t>
  </si>
  <si>
    <t>Match to locate the row number</t>
  </si>
  <si>
    <t>Index to get the value of city name</t>
  </si>
  <si>
    <t>S.No.</t>
  </si>
  <si>
    <t>Name</t>
  </si>
  <si>
    <t>Age</t>
  </si>
  <si>
    <t>Exp</t>
  </si>
  <si>
    <t>Gender</t>
  </si>
  <si>
    <t>Salary</t>
  </si>
  <si>
    <t>Cadre</t>
  </si>
  <si>
    <t>Bonus</t>
  </si>
  <si>
    <t>Agarwal B</t>
  </si>
  <si>
    <t>F</t>
  </si>
  <si>
    <t>Jain A</t>
  </si>
  <si>
    <t>M</t>
  </si>
  <si>
    <t xml:space="preserve">Q1: </t>
  </si>
  <si>
    <t>Rao D</t>
  </si>
  <si>
    <t>DAVERAGE(Range, Field Name, Criteria)</t>
  </si>
  <si>
    <t>a) All Females with exp = 8</t>
  </si>
  <si>
    <t>Filter OR Advanced Filter</t>
  </si>
  <si>
    <t>Sharma V</t>
  </si>
  <si>
    <t>b) All Males with sal =2000</t>
  </si>
  <si>
    <t>Desai N</t>
  </si>
  <si>
    <t>DSUM</t>
  </si>
  <si>
    <t>Patel M</t>
  </si>
  <si>
    <t>Q2:</t>
  </si>
  <si>
    <t>Narayan V</t>
  </si>
  <si>
    <t>DCOUNT</t>
  </si>
  <si>
    <t>a) All females with exp &gt; 5</t>
  </si>
  <si>
    <t>Rao K</t>
  </si>
  <si>
    <t>b) all males with age &gt; 40</t>
  </si>
  <si>
    <t>Srinivas J</t>
  </si>
  <si>
    <t>Nayar Y</t>
  </si>
  <si>
    <t>Q3:</t>
  </si>
  <si>
    <t>a) average salary of all female employees</t>
  </si>
  <si>
    <t>DAVERAGE</t>
  </si>
  <si>
    <t>Average Salary of all female employees</t>
  </si>
  <si>
    <t>b) Total salary of all males</t>
  </si>
  <si>
    <t>Criteria</t>
  </si>
  <si>
    <t>c) num of emp with exp &gt; 7</t>
  </si>
  <si>
    <t>Use advaced Filter in Data tab</t>
  </si>
  <si>
    <t>Dummy</t>
  </si>
  <si>
    <t>&gt;40</t>
  </si>
  <si>
    <t>Q4:</t>
  </si>
  <si>
    <t xml:space="preserve"> &gt;15</t>
  </si>
  <si>
    <t>a) sort in ascending order of salary</t>
  </si>
  <si>
    <t>Using Filter</t>
  </si>
  <si>
    <t>b) ascending sal &amp; descending age &amp; descending exp</t>
  </si>
  <si>
    <t>Filter options in each of 3 cells</t>
  </si>
  <si>
    <t>all employees of Cadre a and male</t>
  </si>
  <si>
    <t>Q5:</t>
  </si>
  <si>
    <t>This Blank Means OR</t>
  </si>
  <si>
    <t>a) for each cadre ( row) and sex(colm) find min salary</t>
  </si>
  <si>
    <t>PIVOT TABLE</t>
  </si>
  <si>
    <t>If not Blank than this and Situation for 2 Criterias</t>
  </si>
  <si>
    <t>b) for each sex ( row) and cadre (colm) find the average salary</t>
  </si>
  <si>
    <t xml:space="preserve">Q6)  All employees with salary above 20000 and age below 35 </t>
  </si>
  <si>
    <t>Advanced Filter AND</t>
  </si>
  <si>
    <t xml:space="preserve">a) All employees with age above 40 or of B Cadre </t>
  </si>
  <si>
    <t>Advanced Filter OR</t>
  </si>
  <si>
    <t>RESULT ADVANCE FILTER</t>
  </si>
  <si>
    <t>CRITERIA</t>
  </si>
  <si>
    <t>Q7)</t>
  </si>
  <si>
    <t>All Employees whose bonus is greater than 10% of their salary</t>
  </si>
  <si>
    <t>Complex criteria</t>
  </si>
  <si>
    <t>Q8)  Highlight all employees who have less than 5 years of experience</t>
  </si>
  <si>
    <t>Conditional Formatting</t>
  </si>
  <si>
    <t>Use advance filter in Data - Advance Filter</t>
  </si>
  <si>
    <t>AND</t>
  </si>
  <si>
    <t>if all conditions are written in same line</t>
  </si>
  <si>
    <t>OR</t>
  </si>
  <si>
    <t>If condition is written in separate lines</t>
  </si>
  <si>
    <t>Board Exam Results 2010, 2011, 2012</t>
  </si>
  <si>
    <t>% marks</t>
  </si>
  <si>
    <t>Exam Id</t>
  </si>
  <si>
    <t>Std Id</t>
  </si>
  <si>
    <t>Year</t>
  </si>
  <si>
    <t>Stream</t>
  </si>
  <si>
    <t>Subject1</t>
  </si>
  <si>
    <t>Subject2</t>
  </si>
  <si>
    <t>Subject3</t>
  </si>
  <si>
    <t>Subject4</t>
  </si>
  <si>
    <t>Subject5</t>
  </si>
  <si>
    <t>Result</t>
  </si>
  <si>
    <t>2012SP20297</t>
  </si>
  <si>
    <t>We can use IF(AND) or COUNTIF function)</t>
  </si>
  <si>
    <t>2011A21840</t>
  </si>
  <si>
    <t>2012SP21843</t>
  </si>
  <si>
    <t>2010SB21846</t>
  </si>
  <si>
    <t>2012SB22860</t>
  </si>
  <si>
    <t>2011C40738</t>
  </si>
  <si>
    <t>2011SB40744</t>
  </si>
  <si>
    <t>2010SP40750</t>
  </si>
  <si>
    <t>2010A40835</t>
  </si>
  <si>
    <t>2011A45515</t>
  </si>
  <si>
    <t>2010SB54572</t>
  </si>
  <si>
    <t>2012SP63812</t>
  </si>
  <si>
    <t>2011SB68016</t>
  </si>
  <si>
    <t>2012SP68059</t>
  </si>
  <si>
    <t>2010SB68068</t>
  </si>
  <si>
    <t>2011A68071</t>
  </si>
  <si>
    <t>2012C72694</t>
  </si>
  <si>
    <t>2012SP73023</t>
  </si>
  <si>
    <t>2010C79822</t>
  </si>
  <si>
    <t>2010SP85498</t>
  </si>
  <si>
    <t>2011A86025</t>
  </si>
  <si>
    <t>2011C66518</t>
  </si>
  <si>
    <t>2012A40735</t>
  </si>
  <si>
    <t>2011SB40729</t>
  </si>
  <si>
    <t>2011SP98782</t>
  </si>
  <si>
    <t>2011A80230</t>
  </si>
  <si>
    <t>2012A91062</t>
  </si>
  <si>
    <t>2010A68041</t>
  </si>
  <si>
    <t>2011SB88155</t>
  </si>
  <si>
    <t>2011A54259</t>
  </si>
  <si>
    <t>2012SB28820</t>
  </si>
  <si>
    <t>2011A83932</t>
  </si>
  <si>
    <t>2012SP77942</t>
  </si>
  <si>
    <t>2011A27247</t>
  </si>
  <si>
    <t>2011SP21837</t>
  </si>
  <si>
    <t>2011A35208</t>
  </si>
  <si>
    <t>2011SP31637</t>
  </si>
  <si>
    <t>2011A21831</t>
  </si>
  <si>
    <t>2010SP40741</t>
  </si>
  <si>
    <t>2010SP56725</t>
  </si>
  <si>
    <t>2012C21834</t>
  </si>
  <si>
    <t>2010C60286</t>
  </si>
  <si>
    <t>2011SP40732</t>
  </si>
  <si>
    <t>2012SB21855</t>
  </si>
  <si>
    <t>2011SP12864</t>
  </si>
  <si>
    <t>2011A68053</t>
  </si>
  <si>
    <t>2010SB33306</t>
  </si>
  <si>
    <t>2011C53814</t>
  </si>
  <si>
    <t>2010SB21864</t>
  </si>
  <si>
    <t>2011A21852</t>
  </si>
  <si>
    <t>2010SP62039</t>
  </si>
  <si>
    <t>2012SB76310</t>
  </si>
  <si>
    <t>2012SP68065</t>
  </si>
  <si>
    <t>2012C97463</t>
  </si>
  <si>
    <t>2010C40747</t>
  </si>
  <si>
    <t>2010C21582</t>
  </si>
  <si>
    <t>2011A40753</t>
  </si>
  <si>
    <t>2011SP75649</t>
  </si>
  <si>
    <t>2011C68047</t>
  </si>
  <si>
    <t>2011A21849</t>
  </si>
  <si>
    <t>2010SB83708</t>
  </si>
  <si>
    <t>2012SB81941</t>
  </si>
  <si>
    <t>2012SP65205</t>
  </si>
  <si>
    <t>2011SB78611</t>
  </si>
  <si>
    <t>2012A41332</t>
  </si>
  <si>
    <t>2010C70063</t>
  </si>
  <si>
    <t>2010C21573</t>
  </si>
  <si>
    <t>2012C68056</t>
  </si>
  <si>
    <t>2010SB62252</t>
  </si>
  <si>
    <t>2010C40756</t>
  </si>
  <si>
    <t>2010C68038</t>
  </si>
  <si>
    <t>2011A67954</t>
  </si>
  <si>
    <t>2012SB68062</t>
  </si>
  <si>
    <t>2012A99306</t>
  </si>
  <si>
    <t>2011SP27884</t>
  </si>
  <si>
    <t>2012SB61911</t>
  </si>
  <si>
    <t>2011SP21861</t>
  </si>
  <si>
    <t>2011C99040</t>
  </si>
  <si>
    <t>2011C79107</t>
  </si>
  <si>
    <t>2012SP98686</t>
  </si>
  <si>
    <t>2012A68050</t>
  </si>
  <si>
    <t>2011SB24737</t>
  </si>
  <si>
    <t>2012SB68044</t>
  </si>
  <si>
    <t>2010A58592</t>
  </si>
  <si>
    <t>2010SB40726</t>
  </si>
  <si>
    <t>2011C21858</t>
  </si>
  <si>
    <t>2010SP96236</t>
  </si>
  <si>
    <t>Passed</t>
  </si>
  <si>
    <t>Arts</t>
  </si>
  <si>
    <t>Com</t>
  </si>
  <si>
    <t>SP</t>
  </si>
  <si>
    <t>Sc-Pure</t>
  </si>
  <si>
    <t>Sc-Bio</t>
  </si>
  <si>
    <t>SB</t>
  </si>
  <si>
    <t>Average of Passed Candidates</t>
  </si>
  <si>
    <t>&gt;=40</t>
  </si>
  <si>
    <t>Select Stream Value - as Row name</t>
  </si>
  <si>
    <t>Select Subject1 - as Col Name</t>
  </si>
  <si>
    <t>Q5</t>
  </si>
  <si>
    <t>Q6</t>
  </si>
  <si>
    <t>DMAX - Used to find the top Value</t>
  </si>
  <si>
    <t>MATCH to locate the row number</t>
  </si>
  <si>
    <t>INDEX to locate the value of that particular row number</t>
  </si>
  <si>
    <t>Rank</t>
  </si>
  <si>
    <t>Country</t>
  </si>
  <si>
    <t>Category</t>
  </si>
  <si>
    <t>Profits</t>
  </si>
  <si>
    <t>Assets</t>
  </si>
  <si>
    <t>MktVal</t>
  </si>
  <si>
    <t>Close-sales</t>
  </si>
  <si>
    <t>Close-Profits</t>
  </si>
  <si>
    <t>Close-Assets</t>
  </si>
  <si>
    <t>Close-MktV</t>
  </si>
  <si>
    <t>X-Sales</t>
  </si>
  <si>
    <t>X-Profits</t>
  </si>
  <si>
    <t>X-Assets</t>
  </si>
  <si>
    <t>X-Mkt</t>
  </si>
  <si>
    <t>Natl Australia Bank</t>
  </si>
  <si>
    <t>Australia</t>
  </si>
  <si>
    <t>Banking</t>
  </si>
  <si>
    <t>Dexia</t>
  </si>
  <si>
    <t>Belgium</t>
  </si>
  <si>
    <t>Royal Bank of Canada</t>
  </si>
  <si>
    <t>Canada</t>
  </si>
  <si>
    <t>Crédit Agricole</t>
  </si>
  <si>
    <t>France</t>
  </si>
  <si>
    <t>Société Générale Group</t>
  </si>
  <si>
    <t>BNP Paribas</t>
  </si>
  <si>
    <t>UniCredito Italiano</t>
  </si>
  <si>
    <t>Italy</t>
  </si>
  <si>
    <t>ABN-Amro Holding</t>
  </si>
  <si>
    <t>Netherlands</t>
  </si>
  <si>
    <t>BBVA-Banco Bilbao Vizcaya</t>
  </si>
  <si>
    <t>Spain</t>
  </si>
  <si>
    <t>Banco Santander Central</t>
  </si>
  <si>
    <t>Lloyds TSB Group</t>
  </si>
  <si>
    <t>United Kingdom</t>
  </si>
  <si>
    <t>HBOS</t>
  </si>
  <si>
    <t>Barclays</t>
  </si>
  <si>
    <t>Royal Bank of Scotland</t>
  </si>
  <si>
    <t>HSBC Group</t>
  </si>
  <si>
    <t>Washington Mutual</t>
  </si>
  <si>
    <t>United States</t>
  </si>
  <si>
    <t>FleetBoston Finl</t>
  </si>
  <si>
    <t>US Bancorp</t>
  </si>
  <si>
    <t>Bank One</t>
  </si>
  <si>
    <t>Wachovia</t>
  </si>
  <si>
    <t>JP Morgan Chase</t>
  </si>
  <si>
    <t>Wells Fargo</t>
  </si>
  <si>
    <t>Bank of America</t>
  </si>
  <si>
    <t>Citigroup</t>
  </si>
  <si>
    <t>Dow Chemical</t>
  </si>
  <si>
    <t>Chemicals</t>
  </si>
  <si>
    <t>Tyco International</t>
  </si>
  <si>
    <t>Bermuda</t>
  </si>
  <si>
    <t>Conglomerates</t>
  </si>
  <si>
    <t>Siemens Group</t>
  </si>
  <si>
    <t>Germany</t>
  </si>
  <si>
    <t>United Technologies</t>
  </si>
  <si>
    <t>General Electric</t>
  </si>
  <si>
    <t>Renault Group</t>
  </si>
  <si>
    <t>Consumer durables</t>
  </si>
  <si>
    <t>Volkswagen Group</t>
  </si>
  <si>
    <t>BMW-Bayerische Motor</t>
  </si>
  <si>
    <t>DaimlerChrysler</t>
  </si>
  <si>
    <t>Sony</t>
  </si>
  <si>
    <t>Japan</t>
  </si>
  <si>
    <t>Honda Motor</t>
  </si>
  <si>
    <t>Nissan Motor</t>
  </si>
  <si>
    <t>Toyota Motor</t>
  </si>
  <si>
    <t>Ford Motor</t>
  </si>
  <si>
    <t>General Motors</t>
  </si>
  <si>
    <t>Deutsche Bank Group</t>
  </si>
  <si>
    <t>Diversified financials</t>
  </si>
  <si>
    <t>Fortis</t>
  </si>
  <si>
    <t>ING Group</t>
  </si>
  <si>
    <t>UBS</t>
  </si>
  <si>
    <t>Switzerland</t>
  </si>
  <si>
    <t>Freddie Mac</t>
  </si>
  <si>
    <t>Goldman Sachs Group</t>
  </si>
  <si>
    <t>Merrill Lynch</t>
  </si>
  <si>
    <t>Morgan Stanley</t>
  </si>
  <si>
    <t>American Express</t>
  </si>
  <si>
    <t>Fannie Mae</t>
  </si>
  <si>
    <t>Roche Group</t>
  </si>
  <si>
    <t>Drugs &amp; biotechnology</t>
  </si>
  <si>
    <t>Novartis Group</t>
  </si>
  <si>
    <t>GlaxoSmithKline</t>
  </si>
  <si>
    <t>Merck &amp; Co</t>
  </si>
  <si>
    <t>Johnson &amp; Johnson</t>
  </si>
  <si>
    <t>Pfizer</t>
  </si>
  <si>
    <t>Carrefour Group</t>
  </si>
  <si>
    <t>Food markets</t>
  </si>
  <si>
    <t>Unilever</t>
  </si>
  <si>
    <t>Netherlands/ United Kingdom</t>
  </si>
  <si>
    <t>Food, drink &amp; tobacco</t>
  </si>
  <si>
    <t>Nestlé</t>
  </si>
  <si>
    <t>Altria Group</t>
  </si>
  <si>
    <t>Procter &amp; Gamble</t>
  </si>
  <si>
    <t>Household &amp; personal products</t>
  </si>
  <si>
    <t>AXA Group</t>
  </si>
  <si>
    <t>Insurance</t>
  </si>
  <si>
    <t>Munich Re</t>
  </si>
  <si>
    <t>Aegon Insurance Group</t>
  </si>
  <si>
    <t>MetLife</t>
  </si>
  <si>
    <t>Allstate</t>
  </si>
  <si>
    <t>Berkshire Hathaway</t>
  </si>
  <si>
    <t>American Intl Group</t>
  </si>
  <si>
    <t>Walt Disney</t>
  </si>
  <si>
    <t>Media</t>
  </si>
  <si>
    <t>Comcast</t>
  </si>
  <si>
    <t>Viacom</t>
  </si>
  <si>
    <t>Time Warner</t>
  </si>
  <si>
    <t>China Petroleum &amp; Chemical</t>
  </si>
  <si>
    <t>China</t>
  </si>
  <si>
    <t>Oil &amp; gas operations</t>
  </si>
  <si>
    <t>PetroChina</t>
  </si>
  <si>
    <t>Q-E</t>
  </si>
  <si>
    <t>Total</t>
  </si>
  <si>
    <t>ENI</t>
  </si>
  <si>
    <t>Royal Dutch/Shell Group</t>
  </si>
  <si>
    <t>Gazprom</t>
  </si>
  <si>
    <t>Russia</t>
  </si>
  <si>
    <t>BP</t>
  </si>
  <si>
    <t>ConocoPhillips</t>
  </si>
  <si>
    <t>ChevronTexaco</t>
  </si>
  <si>
    <t>ExxonMobil</t>
  </si>
  <si>
    <t>Home Depot</t>
  </si>
  <si>
    <t>Retailing</t>
  </si>
  <si>
    <t>Wal-Mart Stores</t>
  </si>
  <si>
    <t>Samsung Electronics</t>
  </si>
  <si>
    <t>South Korea</t>
  </si>
  <si>
    <t>Semiconductors</t>
  </si>
  <si>
    <t>Intel</t>
  </si>
  <si>
    <t>Microsoft</t>
  </si>
  <si>
    <t>Software &amp; services</t>
  </si>
  <si>
    <t>Nokia</t>
  </si>
  <si>
    <t>Finland</t>
  </si>
  <si>
    <t>Technology hardware &amp; equipment</t>
  </si>
  <si>
    <t>Hewlett-Packard</t>
  </si>
  <si>
    <t>Cisco Systems</t>
  </si>
  <si>
    <t>IBM</t>
  </si>
  <si>
    <t>Nippon Tel &amp; Tel</t>
  </si>
  <si>
    <t>Telecommunications services</t>
  </si>
  <si>
    <t>BT Group</t>
  </si>
  <si>
    <t>BellSouth</t>
  </si>
  <si>
    <t>SBC Communications</t>
  </si>
  <si>
    <t>Verizon Commun</t>
  </si>
  <si>
    <t>Deutsche Post</t>
  </si>
  <si>
    <t>Transportation</t>
  </si>
  <si>
    <t>United Parcel Service</t>
  </si>
  <si>
    <t>RWE Group</t>
  </si>
  <si>
    <t>Utilities</t>
  </si>
  <si>
    <t>ENEL</t>
  </si>
  <si>
    <t>Tokyo Electric Power</t>
  </si>
  <si>
    <t>Q-C</t>
  </si>
  <si>
    <t>&gt;80</t>
  </si>
  <si>
    <t>&gt;=200</t>
  </si>
  <si>
    <t>1) Pivot Table</t>
  </si>
  <si>
    <t>2) Advanced Filter with criteria</t>
  </si>
  <si>
    <t>Q-D</t>
  </si>
  <si>
    <t>Closeness %</t>
  </si>
  <si>
    <t>Q-F</t>
  </si>
  <si>
    <t>3) DataBase funtions : Dcount</t>
  </si>
  <si>
    <t>Max-Sales</t>
  </si>
  <si>
    <t>Max Profits</t>
  </si>
  <si>
    <t>Max Assets</t>
  </si>
  <si>
    <t>Max Market Value</t>
  </si>
  <si>
    <t>MAX Sales</t>
  </si>
  <si>
    <t>4) Different ways for expressing criteria</t>
  </si>
  <si>
    <t>5) Command button with Macro</t>
  </si>
  <si>
    <t>6) Range Names</t>
  </si>
  <si>
    <t>Q-G</t>
  </si>
  <si>
    <t>Profits1</t>
  </si>
  <si>
    <t>Grand Total</t>
  </si>
  <si>
    <t>FRUIT PRICES</t>
  </si>
  <si>
    <t>USING INDEX MATCH</t>
  </si>
  <si>
    <t>Q3</t>
  </si>
  <si>
    <t>Q4</t>
  </si>
  <si>
    <t>Sl.No</t>
  </si>
  <si>
    <t>BoxCode</t>
  </si>
  <si>
    <t>Kg</t>
  </si>
  <si>
    <t>Color</t>
  </si>
  <si>
    <t>WtType</t>
  </si>
  <si>
    <t>We can use VLOOKUP also using values in P and Q Column)</t>
  </si>
  <si>
    <t>25R</t>
  </si>
  <si>
    <t>R</t>
  </si>
  <si>
    <t>O20</t>
  </si>
  <si>
    <t>O</t>
  </si>
  <si>
    <t>22Y</t>
  </si>
  <si>
    <t>Y</t>
  </si>
  <si>
    <t>GY21</t>
  </si>
  <si>
    <t>Y18</t>
  </si>
  <si>
    <t>19GY</t>
  </si>
  <si>
    <t>24O</t>
  </si>
  <si>
    <t>19Y</t>
  </si>
  <si>
    <t>GY16</t>
  </si>
  <si>
    <t>15R</t>
  </si>
  <si>
    <t>POINTS</t>
  </si>
  <si>
    <t xml:space="preserve">1. Decoding the Box Code </t>
  </si>
  <si>
    <t>Average Price</t>
  </si>
  <si>
    <t>No of Boxes</t>
  </si>
  <si>
    <t xml:space="preserve">        - ISERROR function to check if the result is not erroneous</t>
  </si>
  <si>
    <t xml:space="preserve">        - VALUE function to obtain a numerical value from a string / sunstring</t>
  </si>
  <si>
    <t xml:space="preserve">        - LEFT, RIGHT functions to get substrings; LEN function to set the position of substring</t>
  </si>
  <si>
    <t xml:space="preserve">        - SUBSTITUTE function to get a modified string from an existing one (to get color code)</t>
  </si>
  <si>
    <t>2. Weight Type from the weight - HLOOKUP with range lookup option</t>
  </si>
  <si>
    <t>3. Price of each Box: VLOOKUP or INDEX &amp; MATCH</t>
  </si>
  <si>
    <t>4. Average Price &amp; Number of Boxes: DAVERAGE &amp; DCOUNT functions  OR  AVERAGEIF &amp; COUNTIF</t>
  </si>
  <si>
    <t>5. Data Tabulation  (Column Input Cell) to obtain the table of Average weights * Numbers for each Color</t>
  </si>
  <si>
    <t>6. Index and Match functions for Colors of Boxes with Max Average weight and Max number of boxes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</si>
</sst>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 * #,##0.0_ ;_ * \-#,##0.0_ ;_ * &quot;-&quot;??_ ;_ @_ "/>
    <numFmt numFmtId="165" formatCode="_ * #,##0_ ;_ * \-#,##0_ ;_ * &quot;-&quot;??_ ;_ @_ "/>
  </numFmts>
  <fonts count="14">
    <font>
      <sz val="11.0"/>
      <color rgb="FF000000"/>
      <name val="Calibri"/>
    </font>
    <font>
      <b/>
      <u/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>
      <b/>
      <u/>
      <sz val="11.0"/>
      <color rgb="FF000000"/>
      <name val="Calibri"/>
    </font>
    <font>
      <b/>
      <sz val="9.0"/>
      <color rgb="FF000000"/>
      <name val="Calibri"/>
    </font>
    <font>
      <sz val="10.0"/>
      <color rgb="FF000000"/>
      <name val="Calibri"/>
    </font>
    <font>
      <b/>
      <sz val="10.0"/>
      <color rgb="FF000000"/>
      <name val="Calibri"/>
    </font>
    <font>
      <sz val="10.0"/>
      <name val="Arial"/>
    </font>
    <font>
      <b/>
      <sz val="10.0"/>
      <name val="Arial"/>
    </font>
    <font>
      <b/>
      <sz val="10.0"/>
      <name val="Times New Roman"/>
    </font>
    <font>
      <sz val="10.0"/>
      <name val="Times New Roman"/>
    </font>
    <font>
      <b/>
      <sz val="8.0"/>
      <name val="Arial"/>
    </font>
    <font>
      <sz val="8.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6B82B2"/>
        <bgColor rgb="FF6B82B2"/>
      </patternFill>
    </fill>
    <fill>
      <patternFill patternType="solid">
        <fgColor rgb="FFF2F2F2"/>
        <bgColor rgb="FFF2F2F2"/>
      </patternFill>
    </fill>
    <fill>
      <patternFill patternType="solid">
        <fgColor rgb="FFC5E0B3"/>
        <bgColor rgb="FFC5E0B3"/>
      </patternFill>
    </fill>
    <fill>
      <patternFill patternType="solid">
        <fgColor rgb="FFDADADA"/>
        <bgColor rgb="FFDADADA"/>
      </patternFill>
    </fill>
    <fill>
      <patternFill patternType="solid">
        <fgColor rgb="FFFFE598"/>
        <bgColor rgb="FFFFE598"/>
      </patternFill>
    </fill>
    <fill>
      <patternFill patternType="solid">
        <fgColor rgb="FF9CC2E5"/>
        <bgColor rgb="FF9CC2E5"/>
      </patternFill>
    </fill>
    <fill>
      <patternFill patternType="solid">
        <fgColor rgb="FFD0CECE"/>
        <bgColor rgb="FFD0CECE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</fills>
  <borders count="23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shrinkToFit="0" wrapText="1"/>
    </xf>
    <xf borderId="1" fillId="3" fontId="0" numFmtId="0" xfId="0" applyAlignment="1" applyBorder="1" applyFill="1" applyFont="1">
      <alignment horizontal="left" shrinkToFit="0" vertical="top" wrapText="1"/>
    </xf>
    <xf borderId="2" fillId="3" fontId="0" numFmtId="0" xfId="0" applyAlignment="1" applyBorder="1" applyFont="1">
      <alignment horizontal="left" shrinkToFit="0" vertical="top" wrapText="1"/>
    </xf>
    <xf borderId="3" fillId="3" fontId="0" numFmtId="0" xfId="0" applyAlignment="1" applyBorder="1" applyFont="1">
      <alignment horizontal="left" shrinkToFit="0" vertical="top" wrapText="1"/>
    </xf>
    <xf borderId="4" fillId="3" fontId="0" numFmtId="0" xfId="0" applyAlignment="1" applyBorder="1" applyFont="1">
      <alignment horizontal="left" shrinkToFit="0" vertical="top" wrapText="1"/>
    </xf>
    <xf borderId="5" fillId="3" fontId="0" numFmtId="0" xfId="0" applyBorder="1" applyFont="1"/>
    <xf borderId="6" fillId="3" fontId="0" numFmtId="0" xfId="0" applyAlignment="1" applyBorder="1" applyFont="1">
      <alignment horizontal="right" shrinkToFit="0" vertical="top" wrapText="1"/>
    </xf>
    <xf borderId="7" fillId="3" fontId="0" numFmtId="0" xfId="0" applyAlignment="1" applyBorder="1" applyFont="1">
      <alignment horizontal="right" shrinkToFit="0" vertical="top" wrapText="1"/>
    </xf>
    <xf borderId="8" fillId="3" fontId="0" numFmtId="0" xfId="0" applyBorder="1" applyFont="1"/>
    <xf borderId="1" fillId="3" fontId="0" numFmtId="0" xfId="0" applyAlignment="1" applyBorder="1" applyFont="1">
      <alignment horizontal="right" shrinkToFit="0" vertical="top" wrapText="1"/>
    </xf>
    <xf borderId="9" fillId="3" fontId="0" numFmtId="0" xfId="0" applyAlignment="1" applyBorder="1" applyFont="1">
      <alignment horizontal="right" shrinkToFit="0" vertical="top" wrapText="1"/>
    </xf>
    <xf borderId="0" fillId="0" fontId="0" numFmtId="2" xfId="0" applyFont="1" applyNumberFormat="1"/>
    <xf borderId="10" fillId="3" fontId="0" numFmtId="0" xfId="0" applyBorder="1" applyFont="1"/>
    <xf borderId="11" fillId="3" fontId="0" numFmtId="0" xfId="0" applyAlignment="1" applyBorder="1" applyFont="1">
      <alignment horizontal="right" shrinkToFit="0" vertical="top" wrapText="1"/>
    </xf>
    <xf borderId="12" fillId="3" fontId="0" numFmtId="0" xfId="0" applyAlignment="1" applyBorder="1" applyFont="1">
      <alignment horizontal="right" shrinkToFit="0" vertical="top" wrapText="1"/>
    </xf>
    <xf borderId="0" fillId="0" fontId="0" numFmtId="0" xfId="0" applyAlignment="1" applyFont="1">
      <alignment horizontal="left" shrinkToFit="0" vertical="top" wrapText="1"/>
    </xf>
    <xf borderId="0" fillId="0" fontId="3" numFmtId="0" xfId="0" applyFont="1"/>
    <xf borderId="1" fillId="4" fontId="0" numFmtId="0" xfId="0" applyBorder="1" applyFill="1" applyFont="1"/>
    <xf borderId="1" fillId="4" fontId="4" numFmtId="0" xfId="0" applyBorder="1" applyFont="1"/>
    <xf borderId="1" fillId="3" fontId="0" numFmtId="0" xfId="0" applyBorder="1" applyFont="1"/>
    <xf borderId="1" fillId="5" fontId="0" numFmtId="0" xfId="0" applyBorder="1" applyFill="1" applyFont="1"/>
    <xf borderId="1" fillId="6" fontId="0" numFmtId="0" xfId="0" applyBorder="1" applyFill="1" applyFont="1"/>
    <xf borderId="1" fillId="7" fontId="0" numFmtId="0" xfId="0" applyBorder="1" applyFill="1" applyFont="1"/>
    <xf borderId="5" fillId="8" fontId="0" numFmtId="0" xfId="0" applyBorder="1" applyFill="1" applyFont="1"/>
    <xf borderId="6" fillId="8" fontId="0" numFmtId="0" xfId="0" applyBorder="1" applyFont="1"/>
    <xf borderId="7" fillId="8" fontId="0" numFmtId="0" xfId="0" applyBorder="1" applyFont="1"/>
    <xf borderId="10" fillId="8" fontId="0" numFmtId="0" xfId="0" applyBorder="1" applyFont="1"/>
    <xf borderId="11" fillId="8" fontId="0" numFmtId="0" xfId="0" applyBorder="1" applyFont="1"/>
    <xf borderId="12" fillId="8" fontId="0" numFmtId="0" xfId="0" applyBorder="1" applyFont="1"/>
    <xf borderId="1" fillId="8" fontId="3" numFmtId="0" xfId="0" applyBorder="1" applyFont="1"/>
    <xf borderId="1" fillId="8" fontId="0" numFmtId="0" xfId="0" applyBorder="1" applyFont="1"/>
    <xf borderId="0" fillId="0" fontId="0" numFmtId="10" xfId="0" applyFont="1" applyNumberFormat="1"/>
    <xf borderId="0" fillId="0" fontId="0" numFmtId="9" xfId="0" applyFont="1" applyNumberFormat="1"/>
    <xf borderId="1" fillId="8" fontId="0" numFmtId="0" xfId="0" applyAlignment="1" applyBorder="1" applyFont="1">
      <alignment horizontal="center"/>
    </xf>
    <xf borderId="1" fillId="9" fontId="0" numFmtId="0" xfId="0" applyBorder="1" applyFill="1" applyFont="1"/>
    <xf borderId="1" fillId="10" fontId="0" numFmtId="0" xfId="0" applyBorder="1" applyFill="1" applyFont="1"/>
    <xf borderId="0" fillId="0" fontId="3" numFmtId="0" xfId="0" applyAlignment="1" applyFont="1">
      <alignment horizontal="center"/>
    </xf>
    <xf borderId="0" fillId="0" fontId="0" numFmtId="0" xfId="0" applyAlignment="1" applyFont="1">
      <alignment horizontal="center"/>
    </xf>
    <xf borderId="1" fillId="7" fontId="3" numFmtId="0" xfId="0" applyBorder="1" applyFont="1"/>
    <xf borderId="1" fillId="7" fontId="3" numFmtId="0" xfId="0" applyAlignment="1" applyBorder="1" applyFont="1">
      <alignment horizontal="center"/>
    </xf>
    <xf borderId="1" fillId="11" fontId="0" numFmtId="0" xfId="0" applyBorder="1" applyFill="1" applyFont="1"/>
    <xf borderId="0" fillId="0" fontId="5" numFmtId="0" xfId="0" applyFont="1"/>
    <xf borderId="0" fillId="0" fontId="6" numFmtId="0" xfId="0" applyFont="1"/>
    <xf borderId="13" fillId="0" fontId="0" numFmtId="0" xfId="0" applyBorder="1" applyFont="1"/>
    <xf borderId="14" fillId="0" fontId="0" numFmtId="0" xfId="0" applyBorder="1" applyFont="1"/>
    <xf borderId="15" fillId="0" fontId="0" numFmtId="0" xfId="0" applyBorder="1" applyFont="1"/>
    <xf borderId="16" fillId="0" fontId="0" numFmtId="0" xfId="0" applyBorder="1" applyFont="1"/>
    <xf borderId="17" fillId="0" fontId="0" numFmtId="0" xfId="0" applyBorder="1" applyFont="1"/>
    <xf borderId="18" fillId="0" fontId="0" numFmtId="0" xfId="0" applyBorder="1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9" numFmtId="0" xfId="0" applyAlignment="1" applyFont="1">
      <alignment shrinkToFit="0" wrapText="1"/>
    </xf>
    <xf borderId="0" fillId="0" fontId="8" numFmtId="0" xfId="0" applyAlignment="1" applyFont="1">
      <alignment horizontal="center" shrinkToFit="0" wrapText="1"/>
    </xf>
    <xf borderId="0" fillId="0" fontId="8" numFmtId="0" xfId="0" applyAlignment="1" applyFont="1">
      <alignment horizontal="left" shrinkToFit="0" wrapText="1"/>
    </xf>
    <xf borderId="0" fillId="0" fontId="8" numFmtId="0" xfId="0" applyAlignment="1" applyFont="1">
      <alignment horizontal="right" shrinkToFit="0" wrapText="1"/>
    </xf>
    <xf borderId="0" fillId="0" fontId="8" numFmtId="4" xfId="0" applyAlignment="1" applyFont="1" applyNumberFormat="1">
      <alignment horizontal="right" shrinkToFit="0" wrapText="1"/>
    </xf>
    <xf borderId="1" fillId="12" fontId="9" numFmtId="0" xfId="0" applyBorder="1" applyFill="1" applyFont="1"/>
    <xf borderId="1" fillId="13" fontId="9" numFmtId="0" xfId="0" applyAlignment="1" applyBorder="1" applyFill="1" applyFont="1">
      <alignment shrinkToFit="0" wrapText="1"/>
    </xf>
    <xf borderId="1" fillId="13" fontId="8" numFmtId="0" xfId="0" applyBorder="1" applyFont="1"/>
    <xf borderId="13" fillId="0" fontId="8" numFmtId="0" xfId="0" applyBorder="1" applyFont="1"/>
    <xf borderId="19" fillId="0" fontId="8" numFmtId="0" xfId="0" applyBorder="1" applyFont="1"/>
    <xf borderId="15" fillId="0" fontId="8" numFmtId="0" xfId="0" applyBorder="1" applyFont="1"/>
    <xf borderId="20" fillId="0" fontId="8" numFmtId="0" xfId="0" applyBorder="1" applyFont="1"/>
    <xf borderId="0" fillId="0" fontId="8" numFmtId="9" xfId="0" applyFont="1" applyNumberFormat="1"/>
    <xf borderId="1" fillId="14" fontId="8" numFmtId="0" xfId="0" applyBorder="1" applyFill="1" applyFont="1"/>
    <xf borderId="21" fillId="0" fontId="8" numFmtId="0" xfId="0" applyBorder="1" applyFont="1"/>
    <xf borderId="22" fillId="0" fontId="8" numFmtId="0" xfId="0" applyBorder="1" applyFont="1"/>
    <xf borderId="0" fillId="0" fontId="10" numFmtId="0" xfId="0" applyAlignment="1" applyFont="1">
      <alignment horizontal="left" vertical="top"/>
    </xf>
    <xf borderId="1" fillId="7" fontId="8" numFmtId="0" xfId="0" applyBorder="1" applyFont="1"/>
    <xf borderId="1" fillId="7" fontId="9" numFmtId="0" xfId="0" applyBorder="1" applyFont="1"/>
    <xf borderId="0" fillId="0" fontId="11" numFmtId="0" xfId="0" applyAlignment="1" applyFont="1">
      <alignment horizontal="left" vertical="top"/>
    </xf>
    <xf borderId="0" fillId="0" fontId="11" numFmtId="0" xfId="0" applyAlignment="1" applyFont="1">
      <alignment horizontal="center" vertical="top"/>
    </xf>
    <xf borderId="0" fillId="0" fontId="11" numFmtId="0" xfId="0" applyAlignment="1" applyFont="1">
      <alignment horizontal="right" vertical="top"/>
    </xf>
    <xf borderId="0" fillId="0" fontId="12" numFmtId="0" xfId="0" applyAlignment="1" applyFont="1">
      <alignment horizontal="center"/>
    </xf>
    <xf borderId="0" fillId="0" fontId="13" numFmtId="0" xfId="0" applyFont="1"/>
    <xf borderId="0" fillId="0" fontId="12" numFmtId="0" xfId="0" applyFont="1"/>
    <xf borderId="0" fillId="0" fontId="11" numFmtId="164" xfId="0" applyAlignment="1" applyFont="1" applyNumberFormat="1">
      <alignment horizontal="left" vertical="top"/>
    </xf>
    <xf borderId="0" fillId="0" fontId="11" numFmtId="165" xfId="0" applyAlignment="1" applyFont="1" applyNumberFormat="1">
      <alignment horizontal="left" vertical="top"/>
    </xf>
    <xf borderId="0" fillId="0" fontId="11" numFmtId="165" xfId="0" applyAlignment="1" applyFont="1" applyNumberFormat="1">
      <alignment horizontal="right" vertical="top"/>
    </xf>
    <xf borderId="0" fillId="0" fontId="9" numFmtId="164" xfId="0" applyFont="1" applyNumberFormat="1"/>
    <xf borderId="0" fillId="0" fontId="11" numFmtId="164" xfId="0" applyAlignment="1" applyFont="1" applyNumberFormat="1">
      <alignment horizontal="right" vertical="top"/>
    </xf>
  </cellXfs>
  <cellStyles count="1">
    <cellStyle xfId="0" name="Normal" builtinId="0"/>
  </cellStyles>
  <dxfs count="4">
    <dxf>
      <font>
        <color rgb="FF7B7B7B"/>
      </font>
      <fill>
        <patternFill patternType="none"/>
      </fill>
      <border/>
    </dxf>
    <dxf>
      <font>
        <color rgb="FFDADADA"/>
      </font>
      <fill>
        <patternFill patternType="none"/>
      </fill>
      <border/>
    </dxf>
    <dxf>
      <font/>
      <fill>
        <patternFill patternType="solid">
          <fgColor rgb="FFF4B083"/>
          <bgColor rgb="FFF4B083"/>
        </patternFill>
      </fill>
      <border/>
    </dxf>
    <dxf>
      <font>
        <b/>
        <color rgb="FFC0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externalLink" Target="externalLinks/externalLink1.xml"/><Relationship Id="rId14" Type="http://schemas.openxmlformats.org/officeDocument/2006/relationships/worksheet" Target="worksheets/sheet11.xml"/><Relationship Id="rId17" Type="http://schemas.openxmlformats.org/officeDocument/2006/relationships/pivotCacheDefinition" Target="pivotCache/pivotCacheDefinition1.xml"/><Relationship Id="rId16" Type="http://schemas.openxmlformats.org/officeDocument/2006/relationships/externalLink" Target="externalLinks/externalLink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cat>
            <c:strRef>
              <c:f>'Com Plans'!$I$6:$I$16</c:f>
            </c:strRef>
          </c:cat>
          <c:val>
            <c:numRef>
              <c:f>'Com Plans'!$J$6:$J$16</c:f>
              <c:numCache/>
            </c:numRef>
          </c:val>
          <c:smooth val="0"/>
        </c:ser>
        <c:ser>
          <c:idx val="1"/>
          <c:order val="1"/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cat>
            <c:strRef>
              <c:f>'Com Plans'!$I$6:$I$16</c:f>
            </c:strRef>
          </c:cat>
          <c:val>
            <c:numRef>
              <c:f>'Com Plans'!$K$6:$K$16</c:f>
              <c:numCache/>
            </c:numRef>
          </c:val>
          <c:smooth val="0"/>
        </c:ser>
        <c:axId val="830680617"/>
        <c:axId val="1185033457"/>
      </c:lineChart>
      <c:catAx>
        <c:axId val="8306806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85033457"/>
      </c:catAx>
      <c:valAx>
        <c:axId val="11850334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30680617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cat>
            <c:strRef>
              <c:f>'Com Plan Ext'!$I$8:$I$18</c:f>
            </c:strRef>
          </c:cat>
          <c:val>
            <c:numRef>
              <c:f>'Com Plan Ext'!$J$8:$J$18</c:f>
              <c:numCache/>
            </c:numRef>
          </c:val>
          <c:smooth val="0"/>
        </c:ser>
        <c:ser>
          <c:idx val="1"/>
          <c:order val="1"/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cat>
            <c:strRef>
              <c:f>'Com Plan Ext'!$I$8:$I$18</c:f>
            </c:strRef>
          </c:cat>
          <c:val>
            <c:numRef>
              <c:f>'Com Plan Ext'!$K$8:$K$18</c:f>
              <c:numCache/>
            </c:numRef>
          </c:val>
          <c:smooth val="0"/>
        </c:ser>
        <c:axId val="371650876"/>
        <c:axId val="61588271"/>
      </c:lineChart>
      <c:catAx>
        <c:axId val="3716508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1588271"/>
      </c:catAx>
      <c:valAx>
        <c:axId val="615882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71650876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10.xml.rels><?xml version="1.0" encoding="UTF-8" standalone="yes"?><Relationships xmlns="http://schemas.openxmlformats.org/package/2006/relationships"><Relationship Id="rId40" Type="http://schemas.openxmlformats.org/officeDocument/2006/relationships/image" Target="../media/image40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29" Type="http://schemas.openxmlformats.org/officeDocument/2006/relationships/image" Target="../media/image29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11" Type="http://schemas.openxmlformats.org/officeDocument/2006/relationships/image" Target="../media/image11.png"/><Relationship Id="rId33" Type="http://schemas.openxmlformats.org/officeDocument/2006/relationships/image" Target="../media/image33.png"/><Relationship Id="rId10" Type="http://schemas.openxmlformats.org/officeDocument/2006/relationships/image" Target="../media/image10.png"/><Relationship Id="rId32" Type="http://schemas.openxmlformats.org/officeDocument/2006/relationships/image" Target="../media/image32.png"/><Relationship Id="rId13" Type="http://schemas.openxmlformats.org/officeDocument/2006/relationships/image" Target="../media/image13.png"/><Relationship Id="rId35" Type="http://schemas.openxmlformats.org/officeDocument/2006/relationships/image" Target="../media/image35.png"/><Relationship Id="rId12" Type="http://schemas.openxmlformats.org/officeDocument/2006/relationships/image" Target="../media/image12.png"/><Relationship Id="rId34" Type="http://schemas.openxmlformats.org/officeDocument/2006/relationships/image" Target="../media/image34.png"/><Relationship Id="rId15" Type="http://schemas.openxmlformats.org/officeDocument/2006/relationships/image" Target="../media/image15.png"/><Relationship Id="rId37" Type="http://schemas.openxmlformats.org/officeDocument/2006/relationships/image" Target="../media/image37.png"/><Relationship Id="rId14" Type="http://schemas.openxmlformats.org/officeDocument/2006/relationships/image" Target="../media/image14.png"/><Relationship Id="rId36" Type="http://schemas.openxmlformats.org/officeDocument/2006/relationships/image" Target="../media/image36.png"/><Relationship Id="rId17" Type="http://schemas.openxmlformats.org/officeDocument/2006/relationships/image" Target="../media/image17.png"/><Relationship Id="rId39" Type="http://schemas.openxmlformats.org/officeDocument/2006/relationships/image" Target="../media/image39.png"/><Relationship Id="rId16" Type="http://schemas.openxmlformats.org/officeDocument/2006/relationships/image" Target="../media/image16.png"/><Relationship Id="rId38" Type="http://schemas.openxmlformats.org/officeDocument/2006/relationships/image" Target="../media/image38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19050</xdr:colOff>
      <xdr:row>20</xdr:row>
      <xdr:rowOff>104775</xdr:rowOff>
    </xdr:from>
    <xdr:ext cx="1457325" cy="561975"/>
    <xdr:sp macro="" textlink="">
      <xdr:nvSpPr>
        <xdr:cNvPr hidden="1" id="2049" name="Button 1">
          <a:extLst>
            <a:ext uri="{63B3BB69-23CF-44E3-9099-C40C66FF867C}"/>
            <a:ext uri="{FF2B5EF4-FFF2-40B4-BE49-F238E27FC236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anchor="ctr" bIns="27432" lIns="27432" rIns="27432" upright="1" wrap="square" tIns="27432" vertOverflow="clip"/>
        <a:lstStyle/>
        <a:p>
          <a:pPr lvl="0" rtl="0" algn="ctr">
            <a:defRPr sz="1000"/>
          </a:pPr>
          <a:r>
            <a:rPr b="0" i="0" lang="en-IN" sz="1100" u="none" strike="noStrike">
              <a:solidFill>
                <a:srgbClr val="000000"/>
              </a:solidFill>
              <a:latin typeface="Calibri"/>
              <a:cs typeface="Calibri"/>
            </a:rPr>
            <a:t>Fill Table</a:t>
          </a:r>
        </a:p>
      </xdr:txBody>
    </xdr:sp>
    <xdr:clientData fLocksWithSheet="0"/>
  </xdr:oneCellAnchor>
  <xdr:oneCellAnchor>
    <xdr:from>
      <xdr:col>21</xdr:col>
      <xdr:colOff>95250</xdr:colOff>
      <xdr:row>5</xdr:row>
      <xdr:rowOff>57150</xdr:rowOff>
    </xdr:from>
    <xdr:ext cx="514350" cy="247650"/>
    <xdr:sp macro="" textlink="">
      <xdr:nvSpPr>
        <xdr:cNvPr hidden="1" id="2050" name="Button 2">
          <a:extLst>
            <a:ext uri="{63B3BB69-23CF-44E3-9099-C40C66FF867C}"/>
            <a:ext uri="{FF2B5EF4-FFF2-40B4-BE49-F238E27FC236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anchor="ctr" bIns="27432" lIns="27432" rIns="27432" upright="1" wrap="square" tIns="27432" vertOverflow="clip"/>
        <a:lstStyle/>
        <a:p>
          <a:pPr lvl="0" rtl="0" algn="ctr">
            <a:defRPr sz="1000"/>
          </a:pPr>
          <a:r>
            <a:rPr b="0" i="0" lang="en-IN" sz="1100" u="none" strike="noStrike">
              <a:solidFill>
                <a:srgbClr val="000000"/>
              </a:solidFill>
              <a:latin typeface="Calibri"/>
              <a:cs typeface="Calibri"/>
            </a:rPr>
            <a:t>Button 2</a:t>
          </a:r>
        </a:p>
      </xdr:txBody>
    </xdr:sp>
    <xdr:clientData fLocksWithSheet="0"/>
  </xdr:oneCellAnchor>
  <xdr:oneCellAnchor>
    <xdr:from>
      <xdr:col>6</xdr:col>
      <xdr:colOff>333375</xdr:colOff>
      <xdr:row>24</xdr:row>
      <xdr:rowOff>104775</xdr:rowOff>
    </xdr:from>
    <xdr:ext cx="4343400" cy="28765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600075</xdr:colOff>
      <xdr:row>13</xdr:row>
      <xdr:rowOff>104775</xdr:rowOff>
    </xdr:from>
    <xdr:ext cx="4343400" cy="28765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0</xdr:colOff>
      <xdr:row>75</xdr:row>
      <xdr:rowOff>95250</xdr:rowOff>
    </xdr:from>
    <xdr:ext cx="933450" cy="219075"/>
    <xdr:sp macro="" textlink="">
      <xdr:nvSpPr>
        <xdr:cNvPr hidden="1" id="10241" name="Button 1">
          <a:extLst>
            <a:ext uri="{63B3BB69-23CF-44E3-9099-C40C66FF867C}"/>
            <a:ext uri="{FF2B5EF4-FFF2-40B4-BE49-F238E27FC236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anchor="ctr" bIns="22860" lIns="27432" rIns="27432" upright="1" wrap="square" tIns="22860" vertOverflow="clip"/>
        <a:lstStyle/>
        <a:p>
          <a:pPr lvl="0" rtl="0" algn="ctr">
            <a:defRPr sz="1000"/>
          </a:pPr>
          <a:r>
            <a:rPr b="0" i="0" lang="en-IN" sz="1000" u="none" strike="noStrike">
              <a:solidFill>
                <a:srgbClr val="000000"/>
              </a:solidFill>
              <a:latin typeface="Arial"/>
              <a:cs typeface="Arial"/>
            </a:rPr>
            <a:t>Class 1</a:t>
          </a:r>
        </a:p>
      </xdr:txBody>
    </xdr:sp>
    <xdr:clientData fLocksWithSheet="0"/>
  </xdr:oneCellAnchor>
  <xdr:oneCellAnchor>
    <xdr:from>
      <xdr:col>1</xdr:col>
      <xdr:colOff>952500</xdr:colOff>
      <xdr:row>130</xdr:row>
      <xdr:rowOff>38100</xdr:rowOff>
    </xdr:from>
    <xdr:ext cx="1009650" cy="381000"/>
    <xdr:sp macro="" textlink="">
      <xdr:nvSpPr>
        <xdr:cNvPr hidden="1" id="10242" name="Button 2">
          <a:extLst>
            <a:ext uri="{63B3BB69-23CF-44E3-9099-C40C66FF867C}"/>
            <a:ext uri="{FF2B5EF4-FFF2-40B4-BE49-F238E27FC236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anchor="ctr" bIns="22860" lIns="27432" rIns="27432" upright="1" wrap="square" tIns="22860" vertOverflow="clip"/>
        <a:lstStyle/>
        <a:p>
          <a:pPr lvl="0" rtl="0" algn="ctr">
            <a:defRPr sz="1000"/>
          </a:pPr>
          <a:r>
            <a:rPr b="0" i="0" lang="en-IN" sz="1000" u="none" strike="noStrike">
              <a:solidFill>
                <a:srgbClr val="000000"/>
              </a:solidFill>
              <a:latin typeface="Arial"/>
              <a:cs typeface="Arial"/>
            </a:rPr>
            <a:t>Display Companies</a:t>
          </a:r>
        </a:p>
      </xdr:txBody>
    </xdr:sp>
    <xdr:clientData fLocksWithSheet="0"/>
  </xdr:oneCellAnchor>
  <xdr:oneCellAnchor>
    <xdr:from>
      <xdr:col>3</xdr:col>
      <xdr:colOff>85725</xdr:colOff>
      <xdr:row>130</xdr:row>
      <xdr:rowOff>76200</xdr:rowOff>
    </xdr:from>
    <xdr:ext cx="971550" cy="314325"/>
    <xdr:sp macro="" textlink="">
      <xdr:nvSpPr>
        <xdr:cNvPr hidden="1" id="10243" name="Button 3">
          <a:extLst>
            <a:ext uri="{63B3BB69-23CF-44E3-9099-C40C66FF867C}"/>
            <a:ext uri="{FF2B5EF4-FFF2-40B4-BE49-F238E27FC236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anchor="ctr" bIns="22860" lIns="27432" rIns="27432" upright="1" wrap="square" tIns="22860" vertOverflow="clip"/>
        <a:lstStyle/>
        <a:p>
          <a:pPr lvl="0" rtl="0" algn="ctr">
            <a:defRPr sz="1000"/>
          </a:pPr>
          <a:r>
            <a:rPr b="0" i="0" lang="en-IN" sz="1000" u="none" strike="noStrike">
              <a:solidFill>
                <a:srgbClr val="000000"/>
              </a:solidFill>
              <a:latin typeface="Arial"/>
              <a:cs typeface="Arial"/>
            </a:rPr>
            <a:t>Erase</a:t>
          </a:r>
        </a:p>
      </xdr:txBody>
    </xdr:sp>
    <xdr:clientData fLocksWithSheet="0"/>
  </xdr:oneCellAnchor>
  <xdr:oneCellAnchor>
    <xdr:from>
      <xdr:col>14</xdr:col>
      <xdr:colOff>9525</xdr:colOff>
      <xdr:row>9</xdr:row>
      <xdr:rowOff>457200</xdr:rowOff>
    </xdr:from>
    <xdr:ext cx="923925" cy="361950"/>
    <xdr:sp macro="" textlink="">
      <xdr:nvSpPr>
        <xdr:cNvPr hidden="1" id="10244" name="Button 4">
          <a:extLst>
            <a:ext uri="{63B3BB69-23CF-44E3-9099-C40C66FF867C}"/>
            <a:ext uri="{FF2B5EF4-FFF2-40B4-BE49-F238E27FC236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anchor="ctr" bIns="22860" lIns="27432" rIns="27432" upright="1" wrap="square" tIns="22860" vertOverflow="clip"/>
        <a:lstStyle/>
        <a:p>
          <a:pPr lvl="0" rtl="0" algn="ctr">
            <a:defRPr sz="1000"/>
          </a:pPr>
          <a:r>
            <a:rPr b="0" i="0" lang="en-IN" sz="1000" u="none" strike="noStrike">
              <a:solidFill>
                <a:srgbClr val="000000"/>
              </a:solidFill>
              <a:latin typeface="Arial"/>
              <a:cs typeface="Arial"/>
            </a:rPr>
            <a:t>Class 2</a:t>
          </a:r>
        </a:p>
      </xdr:txBody>
    </xdr:sp>
    <xdr:clientData fLocksWithSheet="0"/>
  </xdr:oneCellAnchor>
  <xdr:oneCellAnchor>
    <xdr:from>
      <xdr:col>14</xdr:col>
      <xdr:colOff>19050</xdr:colOff>
      <xdr:row>10</xdr:row>
      <xdr:rowOff>352425</xdr:rowOff>
    </xdr:from>
    <xdr:ext cx="923925" cy="0"/>
    <xdr:sp macro="" textlink="">
      <xdr:nvSpPr>
        <xdr:cNvPr hidden="1" id="10245" name="Button 5">
          <a:extLst>
            <a:ext uri="{63B3BB69-23CF-44E3-9099-C40C66FF867C}"/>
            <a:ext uri="{FF2B5EF4-FFF2-40B4-BE49-F238E27FC236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anchor="ctr" bIns="22860" lIns="27432" rIns="27432" upright="1" wrap="square" tIns="22860" vertOverflow="clip"/>
        <a:lstStyle/>
        <a:p>
          <a:pPr lvl="0" rtl="0" algn="ctr">
            <a:defRPr sz="1000"/>
          </a:pPr>
          <a:r>
            <a:rPr b="0" i="0" lang="en-IN" sz="1000" u="none" strike="noStrike">
              <a:solidFill>
                <a:srgbClr val="000000"/>
              </a:solidFill>
              <a:latin typeface="Arial"/>
              <a:cs typeface="Arial"/>
            </a:rPr>
            <a:t>Class 3</a:t>
          </a:r>
        </a:p>
      </xdr:txBody>
    </xdr:sp>
    <xdr:clientData fLocksWithSheet="0"/>
  </xdr:oneCellAnchor>
  <xdr:oneCellAnchor>
    <xdr:from>
      <xdr:col>3</xdr:col>
      <xdr:colOff>0</xdr:colOff>
      <xdr:row>27</xdr:row>
      <xdr:rowOff>0</xdr:rowOff>
    </xdr:from>
    <xdr:ext cx="19050" cy="19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0</xdr:rowOff>
    </xdr:from>
    <xdr:ext cx="19050" cy="190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0</xdr:rowOff>
    </xdr:from>
    <xdr:ext cx="19050" cy="190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27</xdr:row>
      <xdr:rowOff>0</xdr:rowOff>
    </xdr:from>
    <xdr:ext cx="9525" cy="95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113</xdr:row>
      <xdr:rowOff>0</xdr:rowOff>
    </xdr:from>
    <xdr:ext cx="19050" cy="19050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113</xdr:row>
      <xdr:rowOff>0</xdr:rowOff>
    </xdr:from>
    <xdr:ext cx="19050" cy="19050"/>
    <xdr:pic>
      <xdr:nvPicPr>
        <xdr:cNvPr id="0" name="image6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113</xdr:row>
      <xdr:rowOff>0</xdr:rowOff>
    </xdr:from>
    <xdr:ext cx="9525" cy="952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134</xdr:row>
      <xdr:rowOff>0</xdr:rowOff>
    </xdr:from>
    <xdr:ext cx="19050" cy="19050"/>
    <xdr:pic>
      <xdr:nvPicPr>
        <xdr:cNvPr id="0" name="image8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134</xdr:row>
      <xdr:rowOff>0</xdr:rowOff>
    </xdr:from>
    <xdr:ext cx="19050" cy="19050"/>
    <xdr:pic>
      <xdr:nvPicPr>
        <xdr:cNvPr id="0" name="image9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134</xdr:row>
      <xdr:rowOff>0</xdr:rowOff>
    </xdr:from>
    <xdr:ext cx="9525" cy="9525"/>
    <xdr:pic>
      <xdr:nvPicPr>
        <xdr:cNvPr id="0" name="image10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153</xdr:row>
      <xdr:rowOff>0</xdr:rowOff>
    </xdr:from>
    <xdr:ext cx="19050" cy="19050"/>
    <xdr:pic>
      <xdr:nvPicPr>
        <xdr:cNvPr id="0" name="image11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153</xdr:row>
      <xdr:rowOff>0</xdr:rowOff>
    </xdr:from>
    <xdr:ext cx="19050" cy="19050"/>
    <xdr:pic>
      <xdr:nvPicPr>
        <xdr:cNvPr id="0" name="image12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153</xdr:row>
      <xdr:rowOff>0</xdr:rowOff>
    </xdr:from>
    <xdr:ext cx="9525" cy="9525"/>
    <xdr:pic>
      <xdr:nvPicPr>
        <xdr:cNvPr id="0" name="image13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153</xdr:row>
      <xdr:rowOff>0</xdr:rowOff>
    </xdr:from>
    <xdr:ext cx="19050" cy="19050"/>
    <xdr:pic>
      <xdr:nvPicPr>
        <xdr:cNvPr id="0" name="image14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153</xdr:row>
      <xdr:rowOff>0</xdr:rowOff>
    </xdr:from>
    <xdr:ext cx="19050" cy="19050"/>
    <xdr:pic>
      <xdr:nvPicPr>
        <xdr:cNvPr id="0" name="image15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153</xdr:row>
      <xdr:rowOff>0</xdr:rowOff>
    </xdr:from>
    <xdr:ext cx="9525" cy="9525"/>
    <xdr:pic>
      <xdr:nvPicPr>
        <xdr:cNvPr id="0" name="image16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163</xdr:row>
      <xdr:rowOff>0</xdr:rowOff>
    </xdr:from>
    <xdr:ext cx="19050" cy="19050"/>
    <xdr:pic>
      <xdr:nvPicPr>
        <xdr:cNvPr id="0" name="image17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163</xdr:row>
      <xdr:rowOff>0</xdr:rowOff>
    </xdr:from>
    <xdr:ext cx="19050" cy="19050"/>
    <xdr:pic>
      <xdr:nvPicPr>
        <xdr:cNvPr id="0" name="image18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163</xdr:row>
      <xdr:rowOff>0</xdr:rowOff>
    </xdr:from>
    <xdr:ext cx="9525" cy="9525"/>
    <xdr:pic>
      <xdr:nvPicPr>
        <xdr:cNvPr id="0" name="image19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163</xdr:row>
      <xdr:rowOff>0</xdr:rowOff>
    </xdr:from>
    <xdr:ext cx="19050" cy="19050"/>
    <xdr:pic>
      <xdr:nvPicPr>
        <xdr:cNvPr id="0" name="image20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163</xdr:row>
      <xdr:rowOff>0</xdr:rowOff>
    </xdr:from>
    <xdr:ext cx="19050" cy="19050"/>
    <xdr:pic>
      <xdr:nvPicPr>
        <xdr:cNvPr id="0" name="image21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163</xdr:row>
      <xdr:rowOff>0</xdr:rowOff>
    </xdr:from>
    <xdr:ext cx="9525" cy="9525"/>
    <xdr:pic>
      <xdr:nvPicPr>
        <xdr:cNvPr id="0" name="image22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113</xdr:row>
      <xdr:rowOff>0</xdr:rowOff>
    </xdr:from>
    <xdr:ext cx="19050" cy="19050"/>
    <xdr:pic>
      <xdr:nvPicPr>
        <xdr:cNvPr id="0" name="image23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113</xdr:row>
      <xdr:rowOff>0</xdr:rowOff>
    </xdr:from>
    <xdr:ext cx="19050" cy="19050"/>
    <xdr:pic>
      <xdr:nvPicPr>
        <xdr:cNvPr id="0" name="image24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113</xdr:row>
      <xdr:rowOff>0</xdr:rowOff>
    </xdr:from>
    <xdr:ext cx="9525" cy="9525"/>
    <xdr:pic>
      <xdr:nvPicPr>
        <xdr:cNvPr id="0" name="image25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163</xdr:row>
      <xdr:rowOff>0</xdr:rowOff>
    </xdr:from>
    <xdr:ext cx="19050" cy="19050"/>
    <xdr:pic>
      <xdr:nvPicPr>
        <xdr:cNvPr id="0" name="image26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163</xdr:row>
      <xdr:rowOff>0</xdr:rowOff>
    </xdr:from>
    <xdr:ext cx="19050" cy="19050"/>
    <xdr:pic>
      <xdr:nvPicPr>
        <xdr:cNvPr id="0" name="image27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163</xdr:row>
      <xdr:rowOff>0</xdr:rowOff>
    </xdr:from>
    <xdr:ext cx="9525" cy="9525"/>
    <xdr:pic>
      <xdr:nvPicPr>
        <xdr:cNvPr id="0" name="image28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163</xdr:row>
      <xdr:rowOff>0</xdr:rowOff>
    </xdr:from>
    <xdr:ext cx="19050" cy="19050"/>
    <xdr:pic>
      <xdr:nvPicPr>
        <xdr:cNvPr id="0" name="image29.pn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163</xdr:row>
      <xdr:rowOff>0</xdr:rowOff>
    </xdr:from>
    <xdr:ext cx="19050" cy="19050"/>
    <xdr:pic>
      <xdr:nvPicPr>
        <xdr:cNvPr id="0" name="image30.pn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163</xdr:row>
      <xdr:rowOff>0</xdr:rowOff>
    </xdr:from>
    <xdr:ext cx="9525" cy="9525"/>
    <xdr:pic>
      <xdr:nvPicPr>
        <xdr:cNvPr id="0" name="image31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163</xdr:row>
      <xdr:rowOff>0</xdr:rowOff>
    </xdr:from>
    <xdr:ext cx="19050" cy="19050"/>
    <xdr:pic>
      <xdr:nvPicPr>
        <xdr:cNvPr id="0" name="image32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163</xdr:row>
      <xdr:rowOff>0</xdr:rowOff>
    </xdr:from>
    <xdr:ext cx="19050" cy="19050"/>
    <xdr:pic>
      <xdr:nvPicPr>
        <xdr:cNvPr id="0" name="image33.pn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163</xdr:row>
      <xdr:rowOff>0</xdr:rowOff>
    </xdr:from>
    <xdr:ext cx="9525" cy="9525"/>
    <xdr:pic>
      <xdr:nvPicPr>
        <xdr:cNvPr id="0" name="image34.pn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163</xdr:row>
      <xdr:rowOff>0</xdr:rowOff>
    </xdr:from>
    <xdr:ext cx="19050" cy="19050"/>
    <xdr:pic>
      <xdr:nvPicPr>
        <xdr:cNvPr id="0" name="image35.pn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163</xdr:row>
      <xdr:rowOff>0</xdr:rowOff>
    </xdr:from>
    <xdr:ext cx="19050" cy="19050"/>
    <xdr:pic>
      <xdr:nvPicPr>
        <xdr:cNvPr id="0" name="image36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163</xdr:row>
      <xdr:rowOff>0</xdr:rowOff>
    </xdr:from>
    <xdr:ext cx="9525" cy="9525"/>
    <xdr:pic>
      <xdr:nvPicPr>
        <xdr:cNvPr id="0" name="image37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136</xdr:row>
      <xdr:rowOff>0</xdr:rowOff>
    </xdr:from>
    <xdr:ext cx="19050" cy="19050"/>
    <xdr:pic>
      <xdr:nvPicPr>
        <xdr:cNvPr id="0" name="image38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136</xdr:row>
      <xdr:rowOff>0</xdr:rowOff>
    </xdr:from>
    <xdr:ext cx="19050" cy="19050"/>
    <xdr:pic>
      <xdr:nvPicPr>
        <xdr:cNvPr id="0" name="image39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136</xdr:row>
      <xdr:rowOff>0</xdr:rowOff>
    </xdr:from>
    <xdr:ext cx="9525" cy="9525"/>
    <xdr:pic>
      <xdr:nvPicPr>
        <xdr:cNvPr id="0" name="image40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136</xdr:row>
      <xdr:rowOff>0</xdr:rowOff>
    </xdr:from>
    <xdr:ext cx="19050" cy="19050"/>
    <xdr:pic>
      <xdr:nvPicPr>
        <xdr:cNvPr id="0" name="image41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IIMA%20Drive/IIMA%20-%20Documents/2020-07-05%20Class%208%20-%20Prof.%20Kavita%20Ranganathan/comparision%20of%20two%20sales%20comm%20plans.xlsm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IIMA%20Drive/IIMA%20-%20Documents/2020-07-19%20Class%2012%20-%20Prof.%20Kavita%20Ranganathan/ForbesTop-100-KR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m Plans"/>
      <sheetName val="Com Plan Ext"/>
      <sheetName val="points"/>
      <sheetName val="Multiplication Table"/>
    </sheetNames>
    <definedNames>
      <definedName name="filltbl"/>
    </defined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ivot-table-Q-B"/>
      <sheetName val="Points"/>
      <sheetName val="Sheet1"/>
      <sheetName val="Sheet3"/>
      <sheetName val="Forbes-Data"/>
      <sheetName val="Sheet2"/>
    </sheetNames>
    <definedNames>
      <definedName name="Class1"/>
      <definedName name="qeclass2"/>
      <definedName name="qeclass3"/>
      <definedName name="QG_erase"/>
      <definedName name="QGdisplay"/>
    </defined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4:H104" sheet="Forbes-Data"/>
  </cacheSource>
  <cacheFields>
    <cacheField name="Rank" numFmtId="0">
      <sharedItems containsSemiMixedTypes="0" containsString="0" containsNumber="1" containsInteger="1">
        <n v="86.0"/>
        <n v="99.0"/>
        <n v="79.0"/>
        <n v="68.0"/>
        <n v="54.0"/>
        <n v="18.0"/>
        <n v="92.0"/>
        <n v="48.0"/>
        <n v="57.0"/>
        <n v="39.0"/>
        <n v="47.0"/>
        <n v="36.0"/>
        <n v="27.0"/>
        <n v="19.0"/>
        <n v="7.0"/>
        <n v="67.0"/>
        <n v="90.0"/>
        <n v="77.0"/>
        <n v="52.0"/>
        <n v="41.0"/>
        <n v="15.0"/>
        <n v="25.0"/>
        <n v="6.0"/>
        <n v="1.0"/>
        <n v="97.0"/>
        <n v="76.0"/>
        <n v="35.0"/>
        <n v="95.0"/>
        <n v="2.0"/>
        <n v="100.0"/>
        <n v="71.0"/>
        <n v="74.0"/>
        <n v="21.0"/>
        <n v="82.0"/>
        <n v="49.0"/>
        <n v="51.0"/>
        <n v="8.0"/>
        <n v="75.0"/>
        <n v="29.0"/>
        <n v="34.0"/>
        <n v="96.0"/>
        <n v="12.0"/>
        <n v="11.0"/>
        <n v="20.0"/>
        <n v="56.0"/>
        <n v="40.0"/>
        <n v="28.0"/>
        <n v="50.0"/>
        <n v="9.0"/>
        <n v="78.0"/>
        <n v="64.0"/>
        <n v="80.0"/>
        <n v="63.0"/>
        <n v="46.0"/>
        <n v="24.0"/>
        <n v="88.0"/>
        <n v="66.0"/>
        <n v="32.0"/>
        <n v="22.0"/>
        <n v="44.0"/>
        <n v="53.0"/>
        <n v="73.0"/>
        <n v="98.0"/>
        <n v="59.0"/>
        <n v="62.0"/>
        <n v="14.0"/>
        <n v="3.0"/>
        <n v="85.0"/>
        <n v="70.0"/>
        <n v="61.0"/>
        <n v="42.0"/>
        <n v="81.0"/>
        <n v="55.0"/>
        <n v="17.0"/>
        <n v="37.0"/>
        <n v="13.0"/>
        <n v="87.0"/>
        <n v="5.0"/>
        <n v="38.0"/>
        <n v="23.0"/>
        <n v="4.0"/>
        <n v="60.0"/>
        <n v="10.0"/>
        <n v="45.0"/>
        <n v="58.0"/>
        <n v="31.0"/>
        <n v="83.0"/>
        <n v="43.0"/>
        <n v="89.0"/>
        <n v="16.0"/>
        <n v="30.0"/>
        <n v="93.0"/>
        <n v="84.0"/>
        <n v="33.0"/>
        <n v="26.0"/>
        <n v="69.0"/>
        <n v="94.0"/>
        <n v="91.0"/>
        <n v="65.0"/>
        <n v="72.0"/>
      </sharedItems>
    </cacheField>
    <cacheField name="Name" numFmtId="0">
      <sharedItems>
        <s v="Natl Australia Bank"/>
        <s v="Dexia"/>
        <s v="Royal Bank of Canada"/>
        <s v="Crédit Agricole"/>
        <s v="Société Générale Group"/>
        <s v="BNP Paribas"/>
        <s v="UniCredito Italiano"/>
        <s v="ABN-Amro Holding"/>
        <s v="BBVA-Banco Bilbao Vizcaya"/>
        <s v="Banco Santander Central"/>
        <s v="Lloyds TSB Group"/>
        <s v="HBOS"/>
        <s v="Barclays"/>
        <s v="Royal Bank of Scotland"/>
        <s v="HSBC Group"/>
        <s v="Washington Mutual"/>
        <s v="FleetBoston Finl"/>
        <s v="US Bancorp"/>
        <s v="Bank One"/>
        <s v="Wachovia"/>
        <s v="JP Morgan Chase"/>
        <s v="Wells Fargo"/>
        <s v="Bank of America"/>
        <s v="Citigroup"/>
        <s v="Dow Chemical"/>
        <s v="Tyco International"/>
        <s v="Siemens Group"/>
        <s v="United Technologies"/>
        <s v="General Electric"/>
        <s v="Renault Group"/>
        <s v="Volkswagen Group"/>
        <s v="BMW-Bayerische Motor"/>
        <s v="DaimlerChrysler"/>
        <s v="Sony"/>
        <s v="Honda Motor"/>
        <s v="Nissan Motor"/>
        <s v="Toyota Motor"/>
        <s v="Ford Motor"/>
        <s v="General Motors"/>
        <s v="Deutsche Bank Group"/>
        <s v="Fortis"/>
        <s v="ING Group"/>
        <s v="UBS"/>
        <s v="Freddie Mac"/>
        <s v="Goldman Sachs Group"/>
        <s v="Merrill Lynch"/>
        <s v="Morgan Stanley"/>
        <s v="American Express"/>
        <s v="Fannie Mae"/>
        <s v="Roche Group"/>
        <s v="Novartis Group"/>
        <s v="GlaxoSmithKline"/>
        <s v="Merck &amp; Co"/>
        <s v="Johnson &amp; Johnson"/>
        <s v="Pfizer"/>
        <s v="Carrefour Group"/>
        <s v="Unilever"/>
        <s v="Nestlé"/>
        <s v="Altria Group"/>
        <s v="Procter &amp; Gamble"/>
        <s v="AXA Group"/>
        <s v="Munich Re"/>
        <s v="Aegon Insurance Group"/>
        <s v="MetLife"/>
        <s v="Allstate"/>
        <s v="Berkshire Hathaway"/>
        <s v="American Intl Group"/>
        <s v="Walt Disney"/>
        <s v="Comcast"/>
        <s v="Viacom"/>
        <s v="Time Warner"/>
        <s v="China Petroleum &amp; Chemical"/>
        <s v="PetroChina"/>
        <s v="Total"/>
        <s v="ENI"/>
        <s v="Royal Dutch/Shell Group"/>
        <s v="Gazprom"/>
        <s v="BP"/>
        <s v="ConocoPhillips"/>
        <s v="ChevronTexaco"/>
        <s v="ExxonMobil"/>
        <s v="Home Depot"/>
        <s v="Wal-Mart Stores"/>
        <s v="Samsung Electronics"/>
        <s v="Intel"/>
        <s v="Microsoft"/>
        <s v="Nokia"/>
        <s v="Hewlett-Packard"/>
        <s v="Cisco Systems"/>
        <s v="IBM"/>
        <s v="Nippon Tel &amp; Tel"/>
        <s v="BT Group"/>
        <s v="BellSouth"/>
        <s v="SBC Communications"/>
        <s v="Verizon Commun"/>
        <s v="Deutsche Post"/>
        <s v="United Parcel Service"/>
        <s v="RWE Group"/>
        <s v="ENEL"/>
        <s v="Tokyo Electric Power"/>
      </sharedItems>
    </cacheField>
    <cacheField name="Country" numFmtId="0">
      <sharedItems>
        <s v="Australia"/>
        <s v="Belgium"/>
        <s v="Canada"/>
        <s v="France"/>
        <s v="Italy"/>
        <s v="Netherlands"/>
        <s v="Spain"/>
        <s v="United Kingdom"/>
        <s v="United States"/>
        <s v="Bermuda"/>
        <s v="Germany"/>
        <s v="Japan"/>
        <s v="Switzerland"/>
        <s v="Netherlands/ United Kingdom"/>
        <s v="China"/>
        <s v="Russia"/>
        <s v="South Korea"/>
        <s v="Finland"/>
      </sharedItems>
    </cacheField>
    <cacheField name="Category" numFmtId="0">
      <sharedItems>
        <s v="Banking"/>
        <s v="Chemicals"/>
        <s v="Conglomerates"/>
        <s v="Consumer durables"/>
        <s v="Diversified financials"/>
        <s v="Drugs &amp; biotechnology"/>
        <s v="Food markets"/>
        <s v="Food, drink &amp; tobacco"/>
        <s v="Household &amp; personal products"/>
        <s v="Insurance"/>
        <s v="Media"/>
        <s v="Oil &amp; gas operations"/>
        <s v="Retailing"/>
        <s v="Semiconductors"/>
        <s v="Software &amp; services"/>
        <s v="Technology hardware &amp; equipment"/>
        <s v="Telecommunications services"/>
        <s v="Transportation"/>
        <s v="Utilities"/>
      </sharedItems>
    </cacheField>
    <cacheField name="Sales" numFmtId="0">
      <sharedItems containsSemiMixedTypes="0" containsString="0" containsNumber="1">
        <n v="15.34"/>
        <n v="19.62"/>
        <n v="18.82"/>
        <n v="31.77"/>
        <n v="35.52"/>
        <n v="47.74"/>
        <n v="16.53"/>
        <n v="23.64"/>
        <n v="24.1"/>
        <n v="28.7"/>
        <n v="24.48"/>
        <n v="32.68"/>
        <n v="33.69"/>
        <n v="35.65"/>
        <n v="44.33"/>
        <n v="18.01"/>
        <n v="14.22"/>
        <n v="14.57"/>
        <n v="21.04"/>
        <n v="24.47"/>
        <n v="44.39"/>
        <n v="31.8"/>
        <n v="49.01"/>
        <n v="94.71"/>
        <n v="32.63"/>
        <n v="37.57"/>
        <n v="86.62"/>
        <n v="31.03"/>
        <n v="134.19"/>
        <n v="38.17"/>
        <n v="91.33"/>
        <n v="52.23"/>
        <n v="157.13"/>
        <n v="63.23"/>
        <n v="67.44"/>
        <n v="57.77"/>
        <n v="135.82"/>
        <n v="164.2"/>
        <n v="185.52"/>
        <n v="58.85"/>
        <n v="52.51"/>
        <n v="94.72"/>
        <n v="48.95"/>
        <n v="46.26"/>
        <n v="22.84"/>
        <n v="26.64"/>
        <n v="33.0"/>
        <n v="24.17"/>
        <n v="53.13"/>
        <n v="25.18"/>
        <n v="26.77"/>
        <n v="34.16"/>
        <n v="30.78"/>
        <n v="40.01"/>
        <n v="40.36"/>
        <n v="96.94"/>
        <n v="50.7"/>
        <n v="64.56"/>
        <n v="60.7"/>
        <n v="46.99"/>
        <n v="90.1"/>
        <n v="45.85"/>
        <n v="17.75"/>
        <n v="35.79"/>
        <n v="32.15"/>
        <n v="56.22"/>
        <n v="76.66"/>
        <n v="28.44"/>
        <n v="18.35"/>
        <n v="25.85"/>
        <n v="38.08"/>
        <n v="39.16"/>
        <n v="29.53"/>
        <n v="131.64"/>
        <n v="53.29"/>
        <n v="133.5"/>
        <n v="19.21"/>
        <n v="232.57"/>
        <n v="90.49"/>
        <n v="112.94"/>
        <n v="222.88"/>
        <n v="62.9"/>
        <n v="256.33"/>
        <n v="50.22"/>
        <n v="30.14"/>
        <n v="34.27"/>
        <n v="37.05"/>
        <n v="73.06"/>
        <n v="19.82"/>
        <n v="89.13"/>
        <n v="92.41"/>
        <n v="29.58"/>
        <n v="22.58"/>
        <n v="67.75"/>
        <n v="41.23"/>
        <n v="32.81"/>
        <n v="45.68"/>
        <n v="38.99"/>
        <n v="41.62"/>
      </sharedItems>
    </cacheField>
    <cacheField name="Profits" numFmtId="0">
      <sharedItems containsSemiMixedTypes="0" containsString="0" containsNumber="1">
        <n v="2.69"/>
        <n v="1.36"/>
        <n v="2.28"/>
        <n v="1.12"/>
        <n v="1.61"/>
        <n v="4.73"/>
        <n v="1.89"/>
        <n v="3.98"/>
        <n v="2.81"/>
        <n v="3.28"/>
        <n v="2.87"/>
        <n v="3.09"/>
        <n v="4.9"/>
        <n v="4.95"/>
        <n v="6.66"/>
        <n v="3.88"/>
        <n v="2.13"/>
        <n v="3.73"/>
        <n v="3.4"/>
        <n v="4.25"/>
        <n v="4.47"/>
        <n v="6.2"/>
        <n v="10.81"/>
        <n v="17.85"/>
        <n v="1.74"/>
        <n v="1.19"/>
        <n v="2.36"/>
        <n v="15.59"/>
        <n v="2.05"/>
        <n v="2.71"/>
        <n v="2.12"/>
        <n v="5.12"/>
        <n v="0.98"/>
        <n v="3.61"/>
        <n v="4.19"/>
        <n v="7.99"/>
        <n v="0.76"/>
        <n v="3.82"/>
        <n v="1.53"/>
        <n v="0.56"/>
        <n v="5.15"/>
        <n v="10.09"/>
        <n v="2.54"/>
        <n v="3.47"/>
        <n v="3.64"/>
        <n v="3.0"/>
        <n v="6.48"/>
        <n v="2.48"/>
        <n v="5.4"/>
        <n v="6.34"/>
        <n v="7.33"/>
        <n v="6.74"/>
        <n v="1.45"/>
        <n v="2.24"/>
        <n v="5.48"/>
        <n v="9.2"/>
        <n v="5.81"/>
        <n v="1.0"/>
        <n v="1.14"/>
        <n v="1.63"/>
        <n v="2.73"/>
        <n v="6.95"/>
        <n v="6.46"/>
        <n v="1.92"/>
        <n v="3.24"/>
        <n v="2.47"/>
        <n v="2.65"/>
        <n v="1.94"/>
        <n v="5.67"/>
        <n v="8.84"/>
        <n v="4.82"/>
        <n v="8.4"/>
        <n v="3.81"/>
        <n v="10.27"/>
        <n v="4.83"/>
        <n v="7.43"/>
        <n v="20.96"/>
        <n v="4.04"/>
        <n v="9.05"/>
        <n v="5.95"/>
        <n v="5.64"/>
        <n v="8.88"/>
        <n v="4.52"/>
        <n v="4.35"/>
        <n v="7.58"/>
        <n v="2.17"/>
        <n v="4.24"/>
        <n v="3.59"/>
        <n v="5.97"/>
        <n v="2.57"/>
        <n v="1.64"/>
        <n v="3.54"/>
        <n v="1.1"/>
        <n v="2.11"/>
        <n v="1.4"/>
      </sharedItems>
    </cacheField>
    <cacheField name="Assets" numFmtId="0">
      <sharedItems containsSemiMixedTypes="0" containsString="0" containsNumber="1">
        <n v="269.94"/>
        <n v="368.37"/>
        <n v="305.01"/>
        <n v="531.01"/>
        <n v="526.54"/>
        <n v="745.09"/>
        <n v="223.6"/>
        <n v="704.95"/>
        <n v="288.8"/>
        <n v="442.24"/>
        <n v="406.99"/>
        <n v="571.76"/>
        <n v="791.54"/>
        <n v="663.45"/>
        <n v="757.6"/>
        <n v="275.18"/>
        <n v="196.4"/>
        <n v="189.29"/>
        <n v="290.01"/>
        <n v="400.87"/>
        <n v="792.7"/>
        <n v="387.8"/>
        <n v="736.45"/>
        <n v="1264.03"/>
        <n v="41.89"/>
        <n v="62.8"/>
        <n v="85.47"/>
        <n v="34.65"/>
        <n v="626.93"/>
        <n v="54.04"/>
        <n v="112.87"/>
        <n v="58.11"/>
        <n v="195.58"/>
        <n v="68.04"/>
        <n v="63.09"/>
        <n v="60.56"/>
        <n v="171.71"/>
        <n v="312.56"/>
        <n v="450.0"/>
        <n v="792.49"/>
        <n v="507.98"/>
        <n v="752.49"/>
        <n v="853.23"/>
        <n v="752.25"/>
        <n v="394.14"/>
        <n v="485.77"/>
        <n v="580.63"/>
        <n v="175.0"/>
        <n v="1019.17"/>
        <n v="45.77"/>
        <n v="46.92"/>
        <n v="29.19"/>
        <n v="42.59"/>
        <n v="46.66"/>
        <n v="120.06"/>
        <n v="40.11"/>
        <n v="45.49"/>
        <n v="62.15"/>
        <n v="96.18"/>
        <n v="53.86"/>
        <n v="456.13"/>
        <n v="191.33"/>
        <n v="266.59"/>
        <n v="326.84"/>
        <n v="134.14"/>
        <n v="172.24"/>
        <n v="647.66"/>
        <n v="51.52"/>
        <n v="109.16"/>
        <n v="90.94"/>
        <n v="121.78"/>
        <n v="45.32"/>
        <n v="58.36"/>
        <n v="87.84"/>
        <n v="67.91"/>
        <n v="100.72"/>
        <n v="77.15"/>
        <n v="177.57"/>
        <n v="81.95"/>
        <n v="82.36"/>
        <n v="166.99"/>
        <n v="35.37"/>
        <n v="104.91"/>
        <n v="54.58"/>
        <n v="47.14"/>
        <n v="85.94"/>
        <n v="29.15"/>
        <n v="74.71"/>
        <n v="36.59"/>
        <n v="104.46"/>
        <n v="150.87"/>
        <n v="44.42"/>
        <n v="49.62"/>
        <n v="100.17"/>
        <n v="165.97"/>
        <n v="169.33"/>
        <n v="28.37"/>
        <n v="97.35"/>
        <n v="71.36"/>
        <n v="116.68"/>
      </sharedItems>
    </cacheField>
    <cacheField name="MktVal" numFmtId="0">
      <sharedItems containsSemiMixedTypes="0" containsString="0" containsNumber="1">
        <n v="36.51"/>
        <n v="21.64"/>
        <n v="31.82"/>
        <n v="38.8"/>
        <n v="40.61"/>
        <n v="59.29"/>
        <n v="33.53"/>
        <n v="39.29"/>
        <n v="44.67"/>
        <n v="56.78"/>
        <n v="48.11"/>
        <n v="52.87"/>
        <n v="61.33"/>
        <n v="90.21"/>
        <n v="177.96"/>
        <n v="39.69"/>
        <n v="47.19"/>
        <n v="52.88"/>
        <n v="58.38"/>
        <n v="62.35"/>
        <n v="81.94"/>
        <n v="97.53"/>
        <n v="117.55"/>
        <n v="255.3"/>
        <n v="39.85"/>
        <n v="58.41"/>
        <n v="75.77"/>
        <n v="48.77"/>
        <n v="328.54"/>
        <n v="19.64"/>
        <n v="17.42"/>
        <n v="29.03"/>
        <n v="47.43"/>
        <n v="38.0"/>
        <n v="41.71"/>
        <n v="115.4"/>
        <n v="26.29"/>
        <n v="27.47"/>
        <n v="50.23"/>
        <n v="30.19"/>
        <n v="54.59"/>
        <n v="85.07"/>
        <n v="44.25"/>
        <n v="50.12"/>
        <n v="57.52"/>
        <n v="64.81"/>
        <n v="68.89"/>
        <n v="76.84"/>
        <n v="95.38"/>
        <n v="116.43"/>
        <n v="124.79"/>
        <n v="108.76"/>
        <n v="160.96"/>
        <n v="285.27"/>
        <n v="37.19"/>
        <n v="72.19"/>
        <n v="106.55"/>
        <n v="111.02"/>
        <n v="131.89"/>
        <n v="41.39"/>
        <n v="26.63"/>
        <n v="23.49"/>
        <n v="26.34"/>
        <n v="32.9"/>
        <n v="141.14"/>
        <n v="194.87"/>
        <n v="55.06"/>
        <n v="67.3"/>
        <n v="68.66"/>
        <n v="77.95"/>
        <n v="50.09"/>
        <n v="90.49"/>
        <n v="116.64"/>
        <n v="76.13"/>
        <n v="163.45"/>
        <n v="36.28"/>
        <n v="173.54"/>
        <n v="46.72"/>
        <n v="92.49"/>
        <n v="277.02"/>
        <n v="82.29"/>
        <n v="243.74"/>
        <n v="72.72"/>
        <n v="196.87"/>
        <n v="287.02"/>
        <n v="104.3"/>
        <n v="70.2"/>
        <n v="166.09"/>
        <n v="171.54"/>
        <n v="73.0"/>
        <n v="28.73"/>
        <n v="54.08"/>
        <n v="82.93"/>
        <n v="103.97"/>
        <n v="26.83"/>
        <n v="79.62"/>
        <n v="23.76"/>
        <n v="46.84"/>
        <n v="30.63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Forbes-Data" cacheId="0" dataCaption="">
  <location ref="H113:I133" firstHeaderRow="1" firstDataRow="2" firstDataCol="0"/>
  <pivotFields>
    <pivotField name="Rank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Country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Category" axis="axisRow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Sales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name="Profits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t="default"/>
      </items>
    </pivotField>
    <pivotField name="Assets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MktVa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</pivotFields>
  <rowFields>
    <field x="3"/>
  </rowFields>
  <dataFields>
    <dataField name="SUM of Sales" fld="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6.14"/>
    <col customWidth="1" min="4" max="4" width="14.43"/>
    <col customWidth="1" min="5" max="5" width="19.29"/>
    <col customWidth="1" min="6" max="8" width="8.71"/>
    <col customWidth="1" min="9" max="9" width="11.57"/>
    <col customWidth="1" min="10" max="11" width="8.71"/>
    <col customWidth="1" min="12" max="12" width="11.86"/>
    <col customWidth="1" min="13" max="21" width="8.71"/>
  </cols>
  <sheetData>
    <row r="1">
      <c r="A1" s="1" t="s">
        <v>0</v>
      </c>
      <c r="I1" s="2" t="s">
        <v>1</v>
      </c>
      <c r="J1" s="2" t="s">
        <v>2</v>
      </c>
      <c r="K1" s="2" t="s">
        <v>3</v>
      </c>
    </row>
    <row r="2">
      <c r="I2" s="3">
        <v>5.0</v>
      </c>
      <c r="J2" s="3">
        <v>2.8</v>
      </c>
      <c r="K2" s="3">
        <v>10.0</v>
      </c>
      <c r="M2" s="4">
        <v>3.0</v>
      </c>
      <c r="N2" s="5">
        <v>2.0</v>
      </c>
      <c r="O2" s="5">
        <v>1.0</v>
      </c>
      <c r="P2" s="5">
        <v>3.0</v>
      </c>
      <c r="Q2" s="5">
        <v>5.0</v>
      </c>
      <c r="R2" s="5">
        <v>2.0</v>
      </c>
      <c r="S2" s="5">
        <v>1.0</v>
      </c>
      <c r="T2" s="5">
        <v>4.0</v>
      </c>
      <c r="U2" s="6">
        <v>7.0</v>
      </c>
    </row>
    <row r="3">
      <c r="A3" s="7">
        <v>5.0</v>
      </c>
      <c r="B3" s="8">
        <v>0.69</v>
      </c>
      <c r="C3" s="9">
        <v>40.0</v>
      </c>
      <c r="E3" t="s">
        <v>4</v>
      </c>
      <c r="I3" s="3">
        <v>10.0</v>
      </c>
      <c r="J3" s="3">
        <v>0.69</v>
      </c>
      <c r="K3" s="3">
        <v>40.0</v>
      </c>
    </row>
    <row r="4">
      <c r="A4" s="10">
        <v>10.0</v>
      </c>
      <c r="B4" s="11">
        <v>0.34</v>
      </c>
      <c r="C4" s="12">
        <v>38.0</v>
      </c>
      <c r="I4" s="3">
        <v>15.0</v>
      </c>
      <c r="J4" s="3">
        <v>0.34</v>
      </c>
      <c r="K4" s="3">
        <v>38.0</v>
      </c>
      <c r="M4" s="13" t="s">
        <v>5</v>
      </c>
    </row>
    <row r="5">
      <c r="A5" s="10">
        <v>15.0</v>
      </c>
      <c r="B5" s="11">
        <v>0.55</v>
      </c>
      <c r="C5" s="12">
        <v>15.0</v>
      </c>
      <c r="E5" t="s">
        <v>6</v>
      </c>
      <c r="I5" s="3">
        <v>20.0</v>
      </c>
      <c r="J5" s="3">
        <v>3.55</v>
      </c>
      <c r="K5" s="3">
        <v>16.0</v>
      </c>
    </row>
    <row r="6">
      <c r="A6" s="10">
        <v>20.0</v>
      </c>
      <c r="B6" s="11">
        <v>0.25</v>
      </c>
      <c r="C6" s="12">
        <v>25.0</v>
      </c>
      <c r="I6" s="3">
        <v>25.0</v>
      </c>
      <c r="J6" s="3">
        <v>0.55</v>
      </c>
      <c r="K6" s="3">
        <v>15.0</v>
      </c>
      <c r="M6" t="s">
        <v>7</v>
      </c>
      <c r="P6" t="s">
        <v>8</v>
      </c>
    </row>
    <row r="7">
      <c r="A7" s="10">
        <v>25.0</v>
      </c>
      <c r="B7" s="11">
        <v>0.59</v>
      </c>
      <c r="C7" s="12">
        <v>40.0</v>
      </c>
      <c r="E7" t="s">
        <v>9</v>
      </c>
      <c r="I7" s="3">
        <v>30.0</v>
      </c>
      <c r="J7" s="3">
        <v>0.25</v>
      </c>
      <c r="K7" s="3">
        <v>25.0</v>
      </c>
    </row>
    <row r="8">
      <c r="A8" s="10">
        <v>30.0</v>
      </c>
      <c r="B8" s="11">
        <v>2.8</v>
      </c>
      <c r="C8" s="12">
        <v>10.0</v>
      </c>
      <c r="I8" s="3">
        <v>35.0</v>
      </c>
      <c r="J8" s="3">
        <v>1.25</v>
      </c>
      <c r="K8" s="3">
        <v>20.0</v>
      </c>
      <c r="M8" t="s">
        <v>10</v>
      </c>
      <c r="P8" t="s">
        <v>11</v>
      </c>
    </row>
    <row r="9">
      <c r="A9" s="14">
        <v>35.0</v>
      </c>
      <c r="B9" s="15">
        <v>3.55</v>
      </c>
      <c r="C9" s="16">
        <v>16.0</v>
      </c>
      <c r="E9" t="s">
        <v>12</v>
      </c>
      <c r="I9" s="3">
        <v>40.0</v>
      </c>
      <c r="J9" s="3">
        <v>0.59</v>
      </c>
      <c r="K9" s="3">
        <v>40.0</v>
      </c>
    </row>
    <row r="10">
      <c r="B10" s="17"/>
      <c r="C10" s="17"/>
      <c r="I10" s="3">
        <v>45.0</v>
      </c>
      <c r="J10" s="3">
        <v>1.75</v>
      </c>
      <c r="K10" s="3">
        <v>12.0</v>
      </c>
      <c r="M10" t="s">
        <v>13</v>
      </c>
      <c r="P10" t="s">
        <v>14</v>
      </c>
    </row>
    <row r="11">
      <c r="B11" s="17"/>
      <c r="C11" s="17"/>
      <c r="E11" t="s">
        <v>15</v>
      </c>
    </row>
    <row r="13">
      <c r="A13" t="s">
        <v>16</v>
      </c>
      <c r="I13" t="s">
        <v>17</v>
      </c>
    </row>
    <row r="14">
      <c r="A14" s="18" t="s">
        <v>18</v>
      </c>
      <c r="I14" s="18" t="s">
        <v>18</v>
      </c>
    </row>
    <row r="15">
      <c r="A15" s="18" t="s">
        <v>19</v>
      </c>
    </row>
    <row r="18">
      <c r="A18" s="1" t="s">
        <v>20</v>
      </c>
      <c r="L18" s="1" t="s">
        <v>21</v>
      </c>
    </row>
    <row r="19">
      <c r="E19" t="s">
        <v>22</v>
      </c>
      <c r="L19" s="2" t="s">
        <v>1</v>
      </c>
      <c r="M19" s="2" t="s">
        <v>2</v>
      </c>
      <c r="N19" s="2" t="s">
        <v>3</v>
      </c>
      <c r="P19" t="s">
        <v>23</v>
      </c>
    </row>
    <row r="20">
      <c r="A20" s="2" t="s">
        <v>24</v>
      </c>
      <c r="B20" s="2" t="s">
        <v>2</v>
      </c>
      <c r="C20" s="2" t="s">
        <v>3</v>
      </c>
      <c r="L20" s="3">
        <v>5.0</v>
      </c>
      <c r="M20" s="3">
        <v>2.8</v>
      </c>
      <c r="N20" s="3">
        <v>40.0</v>
      </c>
      <c r="S20" s="1" t="s">
        <v>25</v>
      </c>
    </row>
    <row r="21" ht="15.75" customHeight="1">
      <c r="A21" s="3" t="s">
        <v>26</v>
      </c>
      <c r="B21" s="3">
        <v>0.69</v>
      </c>
      <c r="C21" s="3">
        <v>40.0</v>
      </c>
      <c r="L21" s="3">
        <v>10.0</v>
      </c>
      <c r="M21" s="3">
        <v>0.69</v>
      </c>
      <c r="N21" s="3">
        <v>39.0</v>
      </c>
      <c r="P21" t="s">
        <v>27</v>
      </c>
      <c r="S21" s="1" t="s">
        <v>28</v>
      </c>
    </row>
    <row r="22" ht="15.75" customHeight="1">
      <c r="A22" s="3" t="s">
        <v>29</v>
      </c>
      <c r="B22" s="3">
        <v>0.34</v>
      </c>
      <c r="C22" s="3">
        <v>38.0</v>
      </c>
      <c r="E22" t="s">
        <v>30</v>
      </c>
      <c r="F22" s="19" t="s">
        <v>31</v>
      </c>
      <c r="G22" s="19"/>
      <c r="H22" s="19"/>
      <c r="I22" s="19"/>
      <c r="J22" s="19"/>
      <c r="L22" s="3">
        <v>15.0</v>
      </c>
      <c r="M22" s="3">
        <v>0.34</v>
      </c>
      <c r="N22" s="3">
        <v>38.0</v>
      </c>
      <c r="P22" t="s">
        <v>32</v>
      </c>
    </row>
    <row r="23" ht="15.75" customHeight="1">
      <c r="A23" s="3" t="s">
        <v>33</v>
      </c>
      <c r="B23" s="3">
        <v>0.55</v>
      </c>
      <c r="C23" s="3">
        <v>15.0</v>
      </c>
      <c r="E23" t="s">
        <v>34</v>
      </c>
      <c r="L23" s="3">
        <v>20.0</v>
      </c>
      <c r="M23" s="3">
        <v>3.55</v>
      </c>
      <c r="N23" s="3">
        <v>25.0</v>
      </c>
      <c r="P23" t="s">
        <v>35</v>
      </c>
    </row>
    <row r="24" ht="15.75" customHeight="1">
      <c r="A24" s="3" t="s">
        <v>36</v>
      </c>
      <c r="B24" s="3">
        <v>0.25</v>
      </c>
      <c r="C24" s="3">
        <v>25.0</v>
      </c>
      <c r="E24" t="s">
        <v>37</v>
      </c>
      <c r="L24" s="3">
        <v>25.0</v>
      </c>
      <c r="M24" s="3">
        <v>0.55</v>
      </c>
      <c r="N24" s="3">
        <v>20.0</v>
      </c>
      <c r="P24" t="s">
        <v>38</v>
      </c>
    </row>
    <row r="25" ht="15.75" customHeight="1">
      <c r="A25" s="3" t="s">
        <v>39</v>
      </c>
      <c r="B25" s="3">
        <v>0.59</v>
      </c>
      <c r="C25" s="3">
        <v>40.0</v>
      </c>
      <c r="L25" s="3">
        <v>30.0</v>
      </c>
      <c r="M25" s="3">
        <v>0.25</v>
      </c>
      <c r="N25" s="3">
        <v>16.0</v>
      </c>
    </row>
    <row r="26" ht="15.75" customHeight="1">
      <c r="A26" s="3" t="s">
        <v>40</v>
      </c>
      <c r="B26" s="3">
        <v>2.8</v>
      </c>
      <c r="C26" s="3">
        <v>10.0</v>
      </c>
      <c r="E26" t="s">
        <v>41</v>
      </c>
      <c r="L26" s="3">
        <v>35.0</v>
      </c>
      <c r="M26" s="3">
        <v>1.25</v>
      </c>
      <c r="N26" s="3">
        <v>15.0</v>
      </c>
    </row>
    <row r="27" ht="15.75" customHeight="1">
      <c r="A27" s="3" t="s">
        <v>42</v>
      </c>
      <c r="B27" s="3">
        <v>3.55</v>
      </c>
      <c r="C27" s="3">
        <v>16.0</v>
      </c>
      <c r="L27" s="3">
        <v>40.0</v>
      </c>
      <c r="M27" s="3">
        <v>0.59</v>
      </c>
      <c r="N27" s="3">
        <v>12.0</v>
      </c>
      <c r="P27" s="20" t="s">
        <v>43</v>
      </c>
      <c r="Q27" s="19"/>
      <c r="R27" s="19"/>
      <c r="S27" s="19"/>
      <c r="T27" s="19"/>
      <c r="U27" s="19"/>
    </row>
    <row r="28" ht="15.75" customHeight="1">
      <c r="A28" s="3" t="s">
        <v>44</v>
      </c>
      <c r="B28" s="3">
        <v>1.25</v>
      </c>
      <c r="C28" s="3">
        <v>20.0</v>
      </c>
      <c r="E28" t="s">
        <v>45</v>
      </c>
      <c r="G28" t="s">
        <v>46</v>
      </c>
      <c r="L28" s="3">
        <v>45.0</v>
      </c>
      <c r="M28" s="3">
        <v>1.75</v>
      </c>
      <c r="N28" s="3">
        <v>10.0</v>
      </c>
    </row>
    <row r="29" ht="15.75" customHeight="1">
      <c r="A29" s="3" t="s">
        <v>47</v>
      </c>
      <c r="B29" s="3">
        <v>1.75</v>
      </c>
      <c r="C29" s="3">
        <v>12.0</v>
      </c>
      <c r="E29" t="s">
        <v>48</v>
      </c>
      <c r="G29" s="1" t="s">
        <v>49</v>
      </c>
    </row>
    <row r="30" ht="15.75" customHeight="1"/>
    <row r="31" ht="15.75" customHeight="1">
      <c r="A31" s="1" t="s">
        <v>50</v>
      </c>
      <c r="L31" s="2" t="s">
        <v>24</v>
      </c>
      <c r="M31" s="2" t="s">
        <v>2</v>
      </c>
      <c r="N31" s="2" t="s">
        <v>3</v>
      </c>
    </row>
    <row r="32" ht="15.75" customHeight="1">
      <c r="L32" s="3" t="s">
        <v>51</v>
      </c>
      <c r="M32" s="3">
        <v>0.69</v>
      </c>
      <c r="N32" s="3">
        <v>40.0</v>
      </c>
      <c r="P32" t="s">
        <v>52</v>
      </c>
      <c r="S32" s="1" t="s">
        <v>53</v>
      </c>
    </row>
    <row r="33" ht="15.75" customHeight="1">
      <c r="A33" s="21">
        <v>1.0</v>
      </c>
      <c r="B33" s="21">
        <v>2.0</v>
      </c>
      <c r="C33" s="21">
        <v>3.0</v>
      </c>
      <c r="D33" s="21">
        <v>4.0</v>
      </c>
      <c r="L33" s="3" t="s">
        <v>54</v>
      </c>
      <c r="M33" s="3">
        <v>0.34</v>
      </c>
      <c r="N33" s="3">
        <v>38.0</v>
      </c>
    </row>
    <row r="34" ht="15.75" customHeight="1">
      <c r="A34" s="21">
        <v>5.0</v>
      </c>
      <c r="B34" s="21">
        <v>6.0</v>
      </c>
      <c r="C34" s="21">
        <v>7.0</v>
      </c>
      <c r="D34" s="21">
        <v>8.0</v>
      </c>
      <c r="L34" s="3" t="s">
        <v>55</v>
      </c>
      <c r="M34" s="3">
        <v>0.55</v>
      </c>
      <c r="N34" s="3">
        <v>15.0</v>
      </c>
    </row>
    <row r="35" ht="15.75" customHeight="1">
      <c r="A35" s="21">
        <v>9.0</v>
      </c>
      <c r="B35" s="21">
        <v>10.0</v>
      </c>
      <c r="C35" s="21">
        <v>11.0</v>
      </c>
      <c r="D35" s="21">
        <v>12.0</v>
      </c>
      <c r="L35" s="3" t="s">
        <v>56</v>
      </c>
      <c r="M35" s="3">
        <v>0.25</v>
      </c>
      <c r="N35" s="3">
        <v>25.0</v>
      </c>
    </row>
    <row r="36" ht="15.75" customHeight="1">
      <c r="A36" s="21">
        <v>13.0</v>
      </c>
      <c r="B36" s="21">
        <v>14.0</v>
      </c>
      <c r="C36" s="21">
        <v>15.0</v>
      </c>
      <c r="D36" s="21">
        <v>16.0</v>
      </c>
      <c r="L36" s="3" t="s">
        <v>57</v>
      </c>
      <c r="M36" s="3">
        <v>0.59</v>
      </c>
      <c r="N36" s="3">
        <v>40.0</v>
      </c>
    </row>
    <row r="37" ht="15.75" customHeight="1">
      <c r="L37" s="3" t="s">
        <v>58</v>
      </c>
      <c r="M37" s="3">
        <v>2.8</v>
      </c>
      <c r="N37" s="3">
        <v>10.0</v>
      </c>
    </row>
    <row r="38" ht="15.75" customHeight="1">
      <c r="L38" s="3" t="s">
        <v>59</v>
      </c>
      <c r="M38" s="3">
        <v>3.55</v>
      </c>
      <c r="N38" s="3">
        <v>16.0</v>
      </c>
    </row>
    <row r="39" ht="15.75" customHeight="1">
      <c r="A39" t="str">
        <f>OFFSET(A33:B34,1,1)</f>
        <v>#REF!</v>
      </c>
      <c r="B39" t="str">
        <f>OFFSET(A33:C35, 2, 2)</f>
        <v>#REF!</v>
      </c>
      <c r="C39" t="s">
        <v>60</v>
      </c>
      <c r="E39" t="s">
        <v>61</v>
      </c>
      <c r="L39" s="3" t="s">
        <v>62</v>
      </c>
      <c r="M39" s="3">
        <v>1.25</v>
      </c>
      <c r="N39" s="3">
        <v>20.0</v>
      </c>
    </row>
    <row r="40" ht="15.75" customHeight="1">
      <c r="A40" t="str">
        <f>OFFSET(A33:B34,1,1,1,1)</f>
        <v>6</v>
      </c>
      <c r="C40" t="s">
        <v>63</v>
      </c>
      <c r="E40" t="s">
        <v>64</v>
      </c>
      <c r="L40" s="3" t="s">
        <v>65</v>
      </c>
      <c r="M40" s="3">
        <v>1.75</v>
      </c>
      <c r="N40" s="3">
        <v>12.0</v>
      </c>
    </row>
    <row r="41" ht="15.75" customHeight="1">
      <c r="A41" t="str">
        <f>SUM(OFFSET(A33:B34,1,1,1,2))</f>
        <v>13</v>
      </c>
      <c r="B41" t="s">
        <v>66</v>
      </c>
      <c r="E41" t="s">
        <v>67</v>
      </c>
    </row>
    <row r="42" ht="15.75" customHeight="1">
      <c r="A42" t="str">
        <f>OFFSET(C35,-2,-2)</f>
        <v>1</v>
      </c>
      <c r="E42" s="1" t="s">
        <v>68</v>
      </c>
    </row>
    <row r="43" ht="15.75" customHeight="1"/>
    <row r="44" ht="15.75" customHeight="1"/>
    <row r="45" ht="15.75" customHeight="1"/>
    <row r="46" ht="15.75" customHeight="1">
      <c r="A46" s="1" t="s">
        <v>69</v>
      </c>
    </row>
    <row r="47" ht="15.75" customHeight="1">
      <c r="C47" t="s">
        <v>70</v>
      </c>
    </row>
    <row r="48" ht="15.75" customHeight="1">
      <c r="C48" t="str">
        <f>FIND("AT", C47, 6)</f>
        <v>8</v>
      </c>
      <c r="D48" t="s">
        <v>71</v>
      </c>
      <c r="E48" t="s">
        <v>72</v>
      </c>
    </row>
    <row r="49" ht="15.75" customHeight="1">
      <c r="C49" t="str">
        <f>SEARCH("at", C47, 6)</f>
        <v>8</v>
      </c>
      <c r="D49" t="s">
        <v>73</v>
      </c>
      <c r="E49" t="s">
        <v>74</v>
      </c>
    </row>
    <row r="50" ht="15.75" customHeight="1">
      <c r="C50" t="str">
        <f>REPLACE(C47, 4, 2, "BOUGH")</f>
        <v>CATBOUGHTMAT</v>
      </c>
      <c r="D50" t="s">
        <v>75</v>
      </c>
      <c r="E50" t="s">
        <v>76</v>
      </c>
    </row>
    <row r="51" ht="15.75" customHeight="1">
      <c r="C51" t="str">
        <f>SUBSTITUTE(C47, "AT", "BOUGH", 2)</f>
        <v>CATBBOUGHMAT</v>
      </c>
      <c r="D51" t="s">
        <v>77</v>
      </c>
      <c r="E51" t="s">
        <v>78</v>
      </c>
    </row>
    <row r="52" ht="15.75" customHeight="1"/>
    <row r="53" ht="15.75" customHeight="1">
      <c r="C53" t="str">
        <f>RIGHT(C47, 3)</f>
        <v>MAT</v>
      </c>
      <c r="D53" t="s">
        <v>79</v>
      </c>
      <c r="E53" t="s">
        <v>80</v>
      </c>
    </row>
    <row r="54" ht="15.75" customHeight="1">
      <c r="C54" t="str">
        <f>LEFT(C47, 3)</f>
        <v>CAT</v>
      </c>
      <c r="D54" t="s">
        <v>81</v>
      </c>
      <c r="E54" t="s">
        <v>82</v>
      </c>
    </row>
    <row r="55" ht="15.75" customHeight="1">
      <c r="C55" t="str">
        <f>MID(C47, 3, 3)</f>
        <v>TBA</v>
      </c>
      <c r="D55" t="s">
        <v>83</v>
      </c>
      <c r="E55" t="s">
        <v>84</v>
      </c>
    </row>
    <row r="56" ht="15.75" customHeight="1"/>
    <row r="57" ht="15.75" customHeight="1">
      <c r="B57">
        <v>2.3333</v>
      </c>
      <c r="C57" t="str">
        <f>TEXT(B57, "#.##")</f>
        <v>2.33</v>
      </c>
      <c r="D57" t="s">
        <v>85</v>
      </c>
      <c r="E57" t="s">
        <v>86</v>
      </c>
    </row>
    <row r="58" ht="15.75" customHeight="1">
      <c r="C58" t="str">
        <f>VALUE(C57)</f>
        <v>2.33</v>
      </c>
      <c r="D58" t="s">
        <v>87</v>
      </c>
      <c r="E58" t="s">
        <v>88</v>
      </c>
    </row>
    <row r="59" ht="15.75" customHeight="1"/>
    <row r="60" ht="15.75" customHeight="1">
      <c r="D60" t="s">
        <v>89</v>
      </c>
      <c r="E60" t="s">
        <v>90</v>
      </c>
    </row>
    <row r="61" ht="15.75" customHeight="1">
      <c r="C61" t="str">
        <f>DOLLAR(B57, 2)</f>
        <v>$2.33</v>
      </c>
      <c r="D61" t="s">
        <v>91</v>
      </c>
      <c r="E61" t="s">
        <v>92</v>
      </c>
    </row>
    <row r="62" ht="15.75" customHeight="1"/>
    <row r="63" ht="15.75" customHeight="1">
      <c r="B63">
        <v>65.0</v>
      </c>
      <c r="C63" t="str">
        <f>CHAR(B63)</f>
        <v>A</v>
      </c>
      <c r="D63" t="s">
        <v>93</v>
      </c>
      <c r="E63" t="s">
        <v>94</v>
      </c>
      <c r="H63" t="s">
        <v>95</v>
      </c>
    </row>
    <row r="64" ht="15.75" customHeight="1">
      <c r="B64" t="s">
        <v>96</v>
      </c>
      <c r="C64" t="str">
        <f>CODE(B64)</f>
        <v>71</v>
      </c>
      <c r="D64" t="s">
        <v>97</v>
      </c>
      <c r="E64" t="s">
        <v>98</v>
      </c>
    </row>
    <row r="65" ht="15.75" customHeight="1"/>
    <row r="66" ht="15.75" customHeight="1">
      <c r="B66" t="s">
        <v>99</v>
      </c>
      <c r="C66" t="str">
        <f>LEN(B66)</f>
        <v>6</v>
      </c>
      <c r="D66" t="s">
        <v>100</v>
      </c>
      <c r="E66" t="s">
        <v>101</v>
      </c>
    </row>
    <row r="67" ht="15.75" customHeight="1"/>
    <row r="68" ht="15.75" customHeight="1">
      <c r="B68" t="s">
        <v>102</v>
      </c>
      <c r="C68" t="str">
        <f>UPPER(B68)</f>
        <v>ANSD</v>
      </c>
      <c r="D68" t="s">
        <v>103</v>
      </c>
    </row>
    <row r="69" ht="15.75" customHeight="1">
      <c r="C69" t="str">
        <f>LOWER(C68)</f>
        <v>ansd</v>
      </c>
      <c r="D69" t="s">
        <v>104</v>
      </c>
    </row>
    <row r="70" ht="15.75" customHeight="1">
      <c r="C70" t="str">
        <f>PROPER(B68)</f>
        <v>Ansd</v>
      </c>
      <c r="D70" t="s">
        <v>105</v>
      </c>
    </row>
    <row r="71" ht="15.75" customHeight="1"/>
    <row r="72" ht="15.75" customHeight="1">
      <c r="C72" t="str">
        <f>EXACT(C69, C70)</f>
        <v>FALSE</v>
      </c>
      <c r="D72" t="s">
        <v>106</v>
      </c>
      <c r="E72" t="s">
        <v>107</v>
      </c>
    </row>
    <row r="73" ht="15.75" customHeight="1"/>
    <row r="74" ht="15.75" customHeight="1">
      <c r="B74" t="s">
        <v>108</v>
      </c>
      <c r="C74" t="str">
        <f>TRIM(B74)</f>
        <v>the cat bought a mat</v>
      </c>
      <c r="D74" t="s">
        <v>109</v>
      </c>
      <c r="E74" t="s">
        <v>110</v>
      </c>
    </row>
    <row r="75" ht="15.75" customHeight="1"/>
    <row r="76" ht="15.75" customHeight="1">
      <c r="B76" t="s">
        <v>111</v>
      </c>
      <c r="C76" t="str">
        <f>REPT(B76, 5)</f>
        <v>AAAAA</v>
      </c>
      <c r="D76" t="s">
        <v>112</v>
      </c>
      <c r="E76" t="s">
        <v>113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AADB"/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4.43"/>
    <col customWidth="1" min="6" max="23" width="8.71"/>
  </cols>
  <sheetData>
    <row r="2">
      <c r="F2" t="s">
        <v>114</v>
      </c>
      <c r="G2" t="s">
        <v>115</v>
      </c>
      <c r="I2" t="s">
        <v>116</v>
      </c>
    </row>
    <row r="3">
      <c r="A3" t="s">
        <v>117</v>
      </c>
      <c r="E3" t="s">
        <v>118</v>
      </c>
      <c r="I3" t="s">
        <v>119</v>
      </c>
    </row>
    <row r="4">
      <c r="E4" s="22" t="s">
        <v>120</v>
      </c>
      <c r="F4" s="22">
        <v>20000.0</v>
      </c>
      <c r="G4" s="22">
        <v>20000.0</v>
      </c>
      <c r="I4" t="s">
        <v>121</v>
      </c>
      <c r="J4" t="s">
        <v>122</v>
      </c>
      <c r="K4" t="s">
        <v>123</v>
      </c>
      <c r="M4" t="s">
        <v>124</v>
      </c>
    </row>
    <row r="5">
      <c r="A5" s="22" t="s">
        <v>125</v>
      </c>
      <c r="B5" s="22"/>
      <c r="C5" s="22">
        <v>15.0</v>
      </c>
      <c r="E5" s="22" t="s">
        <v>126</v>
      </c>
      <c r="F5" s="22">
        <v>1.0</v>
      </c>
      <c r="G5" s="22">
        <v>0.6</v>
      </c>
      <c r="J5" t="str">
        <f t="shared" ref="J5:K5" si="1">F15</f>
        <v>28000</v>
      </c>
      <c r="K5" t="str">
        <f t="shared" si="1"/>
        <v>28000</v>
      </c>
      <c r="M5" t="s">
        <v>127</v>
      </c>
    </row>
    <row r="6">
      <c r="A6" s="22" t="s">
        <v>128</v>
      </c>
      <c r="B6" s="22"/>
      <c r="C6" s="22">
        <v>5.0</v>
      </c>
      <c r="E6" s="22" t="s">
        <v>129</v>
      </c>
      <c r="F6" s="22"/>
      <c r="G6" s="22">
        <v>60000.0</v>
      </c>
      <c r="I6">
        <v>83000.0</v>
      </c>
      <c r="J6">
        <v>-8000.0</v>
      </c>
      <c r="K6">
        <v>-3500.0</v>
      </c>
    </row>
    <row r="7">
      <c r="A7" s="22" t="s">
        <v>130</v>
      </c>
      <c r="B7" s="22"/>
      <c r="C7" s="22">
        <v>25.0</v>
      </c>
      <c r="E7" s="22" t="s">
        <v>131</v>
      </c>
      <c r="F7" s="22"/>
      <c r="G7" s="22">
        <v>1.5</v>
      </c>
      <c r="I7">
        <v>84000.0</v>
      </c>
      <c r="J7">
        <v>-4000.0</v>
      </c>
      <c r="K7" s="23">
        <v>0.0</v>
      </c>
      <c r="M7" t="str">
        <f>F15</f>
        <v>28000</v>
      </c>
      <c r="N7">
        <v>80000.0</v>
      </c>
      <c r="O7">
        <v>81000.0</v>
      </c>
      <c r="P7">
        <v>82000.0</v>
      </c>
      <c r="Q7">
        <v>83000.0</v>
      </c>
      <c r="R7">
        <v>84000.0</v>
      </c>
      <c r="S7">
        <v>85000.0</v>
      </c>
      <c r="T7">
        <v>86000.0</v>
      </c>
    </row>
    <row r="8">
      <c r="A8" s="22"/>
      <c r="B8" s="22"/>
      <c r="C8" s="22"/>
      <c r="I8">
        <v>85000.0</v>
      </c>
      <c r="J8" s="23">
        <v>0.0</v>
      </c>
      <c r="K8">
        <v>3500.0</v>
      </c>
      <c r="M8">
        <v>83000.0</v>
      </c>
      <c r="N8">
        <v>-8000.0</v>
      </c>
      <c r="O8">
        <v>-9000.0</v>
      </c>
      <c r="P8">
        <v>-10000.0</v>
      </c>
      <c r="Q8">
        <v>-11000.0</v>
      </c>
      <c r="R8">
        <v>-12000.0</v>
      </c>
      <c r="S8">
        <v>-13000.0</v>
      </c>
      <c r="T8">
        <v>-14000.0</v>
      </c>
    </row>
    <row r="9">
      <c r="A9" s="22" t="s">
        <v>132</v>
      </c>
      <c r="B9" s="22"/>
      <c r="C9" s="22">
        <v>60000.0</v>
      </c>
      <c r="E9" t="s">
        <v>133</v>
      </c>
      <c r="F9" t="str">
        <f t="shared" ref="F9:G9" si="2">SUM($C$9:$C$12)</f>
        <v>360000</v>
      </c>
      <c r="G9" t="str">
        <f t="shared" si="2"/>
        <v>360000</v>
      </c>
      <c r="I9">
        <v>86000.0</v>
      </c>
      <c r="J9">
        <v>4000.0</v>
      </c>
      <c r="K9">
        <v>7000.0</v>
      </c>
      <c r="M9">
        <v>84000.0</v>
      </c>
      <c r="N9">
        <v>-4000.0</v>
      </c>
      <c r="O9">
        <v>-5000.0</v>
      </c>
      <c r="P9">
        <v>-6000.0</v>
      </c>
      <c r="Q9">
        <v>-7000.0</v>
      </c>
      <c r="R9">
        <v>-8000.0</v>
      </c>
      <c r="S9">
        <v>-9000.0</v>
      </c>
      <c r="T9">
        <v>-10000.0</v>
      </c>
    </row>
    <row r="10">
      <c r="A10" s="22" t="s">
        <v>134</v>
      </c>
      <c r="B10" s="22"/>
      <c r="C10" s="22">
        <v>200000.0</v>
      </c>
      <c r="E10" t="s">
        <v>135</v>
      </c>
      <c r="F10" t="str">
        <f t="shared" ref="F10:G10" si="3">$C$5*$C$14</f>
        <v>1380000</v>
      </c>
      <c r="G10" t="str">
        <f t="shared" si="3"/>
        <v>1380000</v>
      </c>
      <c r="I10">
        <v>87000.0</v>
      </c>
      <c r="J10">
        <v>8000.0</v>
      </c>
      <c r="K10">
        <v>10500.0</v>
      </c>
      <c r="M10">
        <v>85000.0</v>
      </c>
      <c r="N10">
        <v>0.0</v>
      </c>
      <c r="O10">
        <v>-1000.0</v>
      </c>
      <c r="P10">
        <v>-2000.0</v>
      </c>
      <c r="Q10">
        <v>-3000.0</v>
      </c>
      <c r="R10">
        <v>-4000.0</v>
      </c>
      <c r="S10">
        <v>-5000.0</v>
      </c>
      <c r="T10">
        <v>-6000.0</v>
      </c>
    </row>
    <row r="11">
      <c r="A11" s="22" t="s">
        <v>136</v>
      </c>
      <c r="B11" s="22"/>
      <c r="C11" s="22">
        <v>80000.0</v>
      </c>
      <c r="E11" t="s">
        <v>137</v>
      </c>
      <c r="F11" t="str">
        <f t="shared" ref="F11:G11" si="4">$C$6*$C$14</f>
        <v>460000</v>
      </c>
      <c r="G11" t="str">
        <f t="shared" si="4"/>
        <v>460000</v>
      </c>
      <c r="I11">
        <v>88000.0</v>
      </c>
      <c r="J11">
        <v>12000.0</v>
      </c>
      <c r="K11">
        <v>14000.0</v>
      </c>
      <c r="M11">
        <v>86000.0</v>
      </c>
      <c r="N11">
        <v>4000.0</v>
      </c>
      <c r="O11">
        <v>3000.0</v>
      </c>
      <c r="P11">
        <v>2000.0</v>
      </c>
      <c r="Q11">
        <v>1000.0</v>
      </c>
      <c r="R11">
        <v>0.0</v>
      </c>
      <c r="S11">
        <v>-1000.0</v>
      </c>
      <c r="T11">
        <v>-2000.0</v>
      </c>
    </row>
    <row r="12">
      <c r="A12" s="22" t="s">
        <v>138</v>
      </c>
      <c r="B12" s="22"/>
      <c r="C12" s="22">
        <v>20000.0</v>
      </c>
      <c r="E12" t="s">
        <v>139</v>
      </c>
      <c r="F12" t="str">
        <f>IF(C14&lt;F4,0,(C14-F4)*F5)</f>
        <v>72000</v>
      </c>
      <c r="G12" t="str">
        <f>IF(C14&lt;G4,0,IF(C14&lt;=G6,(C14-G4)*G5,(G6-G4)*G5+(C14-G6)*G7))</f>
        <v>72000</v>
      </c>
      <c r="I12">
        <v>89000.0</v>
      </c>
      <c r="J12">
        <v>16000.0</v>
      </c>
      <c r="K12">
        <v>17500.0</v>
      </c>
      <c r="M12">
        <v>87000.0</v>
      </c>
      <c r="N12">
        <v>8000.0</v>
      </c>
      <c r="O12">
        <v>7000.0</v>
      </c>
      <c r="P12">
        <v>6000.0</v>
      </c>
      <c r="Q12">
        <v>5000.0</v>
      </c>
      <c r="R12">
        <v>4000.0</v>
      </c>
      <c r="S12">
        <v>3000.0</v>
      </c>
      <c r="T12">
        <v>2000.0</v>
      </c>
    </row>
    <row r="13">
      <c r="E13" t="s">
        <v>140</v>
      </c>
      <c r="F13" t="str">
        <f t="shared" ref="F13:G13" si="5">SUM(F9:F12)</f>
        <v>2272000</v>
      </c>
      <c r="G13" t="str">
        <f t="shared" si="5"/>
        <v>2272000</v>
      </c>
      <c r="I13">
        <v>90000.0</v>
      </c>
      <c r="J13">
        <v>20000.0</v>
      </c>
      <c r="K13">
        <v>21000.0</v>
      </c>
      <c r="M13">
        <v>88000.0</v>
      </c>
      <c r="N13">
        <v>12000.0</v>
      </c>
      <c r="O13">
        <v>11000.0</v>
      </c>
      <c r="P13">
        <v>10000.0</v>
      </c>
      <c r="Q13">
        <v>9000.0</v>
      </c>
      <c r="R13">
        <v>8000.0</v>
      </c>
      <c r="S13">
        <v>7000.0</v>
      </c>
      <c r="T13">
        <v>6000.0</v>
      </c>
    </row>
    <row r="14">
      <c r="A14" t="s">
        <v>141</v>
      </c>
      <c r="C14">
        <v>92000.0</v>
      </c>
      <c r="E14" t="s">
        <v>142</v>
      </c>
      <c r="F14" t="str">
        <f t="shared" ref="F14:G14" si="6">$C$14*$C$7</f>
        <v>2300000</v>
      </c>
      <c r="G14" t="str">
        <f t="shared" si="6"/>
        <v>2300000</v>
      </c>
      <c r="I14">
        <v>91000.0</v>
      </c>
      <c r="J14">
        <v>24000.0</v>
      </c>
      <c r="K14">
        <v>24500.0</v>
      </c>
      <c r="M14">
        <v>89000.0</v>
      </c>
      <c r="N14">
        <v>16000.0</v>
      </c>
      <c r="O14">
        <v>15000.0</v>
      </c>
      <c r="P14">
        <v>14000.0</v>
      </c>
      <c r="Q14">
        <v>13000.0</v>
      </c>
      <c r="R14">
        <v>12000.0</v>
      </c>
      <c r="S14">
        <v>11000.0</v>
      </c>
      <c r="T14">
        <v>10000.0</v>
      </c>
    </row>
    <row r="15">
      <c r="E15" s="18" t="s">
        <v>143</v>
      </c>
      <c r="F15" s="18" t="str">
        <f t="shared" ref="F15:G15" si="7">F14-F13</f>
        <v>28000</v>
      </c>
      <c r="G15" s="18" t="str">
        <f t="shared" si="7"/>
        <v>28000</v>
      </c>
      <c r="I15" s="24">
        <v>92000.0</v>
      </c>
      <c r="J15" s="24">
        <v>28000.0</v>
      </c>
      <c r="K15" s="24">
        <v>28000.0</v>
      </c>
      <c r="M15">
        <v>90000.0</v>
      </c>
      <c r="N15">
        <v>20000.0</v>
      </c>
      <c r="O15">
        <v>19000.0</v>
      </c>
      <c r="P15">
        <v>18000.0</v>
      </c>
      <c r="Q15">
        <v>17000.0</v>
      </c>
      <c r="R15">
        <v>16000.0</v>
      </c>
      <c r="S15">
        <v>15000.0</v>
      </c>
      <c r="T15">
        <v>14000.0</v>
      </c>
    </row>
    <row r="16">
      <c r="I16">
        <v>93000.0</v>
      </c>
      <c r="J16">
        <v>32000.0</v>
      </c>
      <c r="K16">
        <v>31500.0</v>
      </c>
      <c r="M16">
        <v>91000.0</v>
      </c>
      <c r="N16">
        <v>24000.0</v>
      </c>
      <c r="O16">
        <v>23000.0</v>
      </c>
      <c r="P16">
        <v>22000.0</v>
      </c>
      <c r="Q16">
        <v>21000.0</v>
      </c>
      <c r="R16">
        <v>20000.0</v>
      </c>
      <c r="S16">
        <v>19000.0</v>
      </c>
      <c r="T16">
        <v>18000.0</v>
      </c>
    </row>
    <row r="17">
      <c r="M17">
        <v>92000.0</v>
      </c>
      <c r="N17">
        <v>28000.0</v>
      </c>
      <c r="O17">
        <v>27000.0</v>
      </c>
      <c r="P17">
        <v>26000.0</v>
      </c>
      <c r="Q17">
        <v>25000.0</v>
      </c>
      <c r="R17">
        <v>24000.0</v>
      </c>
      <c r="S17">
        <v>23000.0</v>
      </c>
      <c r="T17">
        <v>22000.0</v>
      </c>
    </row>
    <row r="18">
      <c r="M18">
        <v>93000.0</v>
      </c>
      <c r="N18">
        <v>32000.0</v>
      </c>
      <c r="O18">
        <v>31000.0</v>
      </c>
      <c r="P18">
        <v>30000.0</v>
      </c>
      <c r="Q18">
        <v>29000.0</v>
      </c>
      <c r="R18">
        <v>28000.0</v>
      </c>
      <c r="S18">
        <v>27000.0</v>
      </c>
      <c r="T18">
        <v>26000.0</v>
      </c>
    </row>
    <row r="20">
      <c r="A20" s="1" t="s">
        <v>144</v>
      </c>
    </row>
    <row r="21" ht="15.75" customHeight="1"/>
    <row r="22" ht="15.75" customHeight="1">
      <c r="A22" t="s">
        <v>145</v>
      </c>
      <c r="B22" t="s">
        <v>146</v>
      </c>
    </row>
    <row r="23" ht="15.75" customHeight="1">
      <c r="B23" s="23" t="s">
        <v>147</v>
      </c>
    </row>
    <row r="24" ht="15.75" customHeight="1">
      <c r="B24" s="23" t="s">
        <v>148</v>
      </c>
    </row>
    <row r="25" ht="15.75" customHeight="1"/>
    <row r="26" ht="15.75" customHeight="1">
      <c r="A26" t="s">
        <v>149</v>
      </c>
      <c r="B26" t="s">
        <v>150</v>
      </c>
    </row>
    <row r="27" ht="15.75" customHeight="1">
      <c r="B27" s="24" t="s">
        <v>151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AADB"/>
    <pageSetUpPr/>
  </sheetPr>
  <sheetViews>
    <sheetView workbookViewId="0"/>
  </sheetViews>
  <sheetFormatPr customHeight="1" defaultColWidth="14.43" defaultRowHeight="15.0"/>
  <cols>
    <col customWidth="1" min="1" max="20" width="8.71"/>
  </cols>
  <sheetData>
    <row r="2">
      <c r="F2" t="s">
        <v>114</v>
      </c>
      <c r="G2" t="s">
        <v>115</v>
      </c>
    </row>
    <row r="3">
      <c r="A3" t="s">
        <v>117</v>
      </c>
      <c r="E3" t="s">
        <v>118</v>
      </c>
    </row>
    <row r="4">
      <c r="E4" s="22" t="s">
        <v>120</v>
      </c>
      <c r="F4" s="22">
        <v>20000.0</v>
      </c>
      <c r="G4" s="22">
        <v>20000.0</v>
      </c>
      <c r="I4" t="s">
        <v>116</v>
      </c>
    </row>
    <row r="5">
      <c r="A5" s="22" t="s">
        <v>125</v>
      </c>
      <c r="B5" s="22"/>
      <c r="C5" s="22">
        <v>15.0</v>
      </c>
      <c r="E5" s="22" t="s">
        <v>126</v>
      </c>
      <c r="F5" s="22">
        <v>1.0</v>
      </c>
      <c r="G5" s="22">
        <v>0.6</v>
      </c>
      <c r="I5" t="s">
        <v>119</v>
      </c>
    </row>
    <row r="6">
      <c r="A6" s="22" t="s">
        <v>128</v>
      </c>
      <c r="B6" s="22"/>
      <c r="C6" s="22">
        <v>5.0</v>
      </c>
      <c r="E6" s="22" t="s">
        <v>129</v>
      </c>
      <c r="F6" s="22"/>
      <c r="G6" s="22">
        <v>60000.0</v>
      </c>
      <c r="I6" t="s">
        <v>121</v>
      </c>
      <c r="J6" t="s">
        <v>122</v>
      </c>
      <c r="K6" t="s">
        <v>123</v>
      </c>
    </row>
    <row r="7">
      <c r="A7" s="22" t="s">
        <v>130</v>
      </c>
      <c r="B7" s="22"/>
      <c r="C7" s="22">
        <v>25.0</v>
      </c>
      <c r="E7" s="22" t="s">
        <v>131</v>
      </c>
      <c r="F7" s="22"/>
      <c r="G7" s="22">
        <v>1.5</v>
      </c>
      <c r="J7" t="str">
        <f t="shared" ref="J7:K7" si="1">F15</f>
        <v>30000</v>
      </c>
      <c r="K7" t="str">
        <f t="shared" si="1"/>
        <v>28500</v>
      </c>
    </row>
    <row r="8">
      <c r="A8" s="22"/>
      <c r="B8" s="22"/>
      <c r="C8" s="22"/>
      <c r="E8" t="s">
        <v>152</v>
      </c>
      <c r="F8" t="str">
        <f t="shared" ref="F8:G8" si="2">VLOOKUP($C$13,$A$18:$B$22,2,1)</f>
        <v>90000</v>
      </c>
      <c r="G8" t="str">
        <f t="shared" si="2"/>
        <v>90000</v>
      </c>
      <c r="I8">
        <v>83000.0</v>
      </c>
      <c r="J8">
        <v>12000.0</v>
      </c>
      <c r="K8">
        <v>16500.0</v>
      </c>
    </row>
    <row r="9">
      <c r="A9" s="22" t="s">
        <v>132</v>
      </c>
      <c r="B9" s="22"/>
      <c r="C9" s="22">
        <v>60000.0</v>
      </c>
      <c r="E9" t="s">
        <v>133</v>
      </c>
      <c r="F9" t="str">
        <f t="shared" ref="F9:G9" si="3">SUM($C$9:$C$11)</f>
        <v>280000</v>
      </c>
      <c r="G9" t="str">
        <f t="shared" si="3"/>
        <v>280000</v>
      </c>
      <c r="I9">
        <v>84000.0</v>
      </c>
      <c r="J9">
        <v>16000.0</v>
      </c>
      <c r="K9">
        <v>20000.0</v>
      </c>
    </row>
    <row r="10">
      <c r="A10" s="22" t="s">
        <v>134</v>
      </c>
      <c r="B10" s="22"/>
      <c r="C10" s="22">
        <v>200000.0</v>
      </c>
      <c r="E10" t="s">
        <v>135</v>
      </c>
      <c r="F10" t="str">
        <f t="shared" ref="F10:G10" si="4">$C$5*$C$13</f>
        <v>1425000</v>
      </c>
      <c r="G10" t="str">
        <f t="shared" si="4"/>
        <v>1425000</v>
      </c>
      <c r="I10">
        <v>85000.0</v>
      </c>
      <c r="J10">
        <v>20000.0</v>
      </c>
      <c r="K10">
        <v>23500.0</v>
      </c>
    </row>
    <row r="11">
      <c r="A11" s="22" t="s">
        <v>138</v>
      </c>
      <c r="B11" s="22"/>
      <c r="C11" s="22">
        <v>20000.0</v>
      </c>
      <c r="E11" t="s">
        <v>137</v>
      </c>
      <c r="F11" t="str">
        <f t="shared" ref="F11:G11" si="5">$C$6*$C$13</f>
        <v>475000</v>
      </c>
      <c r="G11" t="str">
        <f t="shared" si="5"/>
        <v>475000</v>
      </c>
      <c r="I11">
        <v>86000.0</v>
      </c>
      <c r="J11">
        <v>24000.0</v>
      </c>
      <c r="K11">
        <v>27000.0</v>
      </c>
    </row>
    <row r="12">
      <c r="E12" t="s">
        <v>139</v>
      </c>
      <c r="F12" t="str">
        <f>IF(C13&lt;F4,0,(C13-F4)*F5)</f>
        <v>75000</v>
      </c>
      <c r="G12" t="str">
        <f>IF(C13&lt;G4,0,IF(C13&lt;=G6,(C13-G4)*G5,(G6-G4)*G5+(C13-G6)*G7))</f>
        <v>76500</v>
      </c>
      <c r="I12">
        <v>87000.0</v>
      </c>
      <c r="J12">
        <v>28000.0</v>
      </c>
      <c r="K12">
        <v>30500.0</v>
      </c>
    </row>
    <row r="13">
      <c r="A13" t="s">
        <v>141</v>
      </c>
      <c r="C13">
        <v>95000.0</v>
      </c>
      <c r="E13" t="s">
        <v>140</v>
      </c>
      <c r="F13" t="str">
        <f t="shared" ref="F13:G13" si="6">SUM(F8:F12)</f>
        <v>2345000</v>
      </c>
      <c r="G13" t="str">
        <f t="shared" si="6"/>
        <v>2346500</v>
      </c>
      <c r="I13">
        <v>88000.0</v>
      </c>
      <c r="J13">
        <v>32000.0</v>
      </c>
      <c r="K13">
        <v>34000.0</v>
      </c>
    </row>
    <row r="14">
      <c r="E14" t="s">
        <v>142</v>
      </c>
      <c r="F14" t="str">
        <f t="shared" ref="F14:G14" si="7">$C$13*$C$7</f>
        <v>2375000</v>
      </c>
      <c r="G14" t="str">
        <f t="shared" si="7"/>
        <v>2375000</v>
      </c>
      <c r="I14">
        <v>89000.0</v>
      </c>
      <c r="J14">
        <v>36000.0</v>
      </c>
      <c r="K14">
        <v>37500.0</v>
      </c>
    </row>
    <row r="15">
      <c r="E15" t="s">
        <v>143</v>
      </c>
      <c r="F15" t="str">
        <f t="shared" ref="F15:G15" si="8">F14-F13</f>
        <v>30000</v>
      </c>
      <c r="G15" t="str">
        <f t="shared" si="8"/>
        <v>28500</v>
      </c>
      <c r="I15">
        <v>90000.0</v>
      </c>
      <c r="J15">
        <v>10000.0</v>
      </c>
      <c r="K15">
        <v>11000.0</v>
      </c>
    </row>
    <row r="16">
      <c r="A16" t="s">
        <v>153</v>
      </c>
      <c r="I16">
        <v>91000.0</v>
      </c>
      <c r="J16">
        <v>14000.0</v>
      </c>
      <c r="K16">
        <v>14500.0</v>
      </c>
    </row>
    <row r="17">
      <c r="A17" t="s">
        <v>154</v>
      </c>
      <c r="B17" t="s">
        <v>155</v>
      </c>
      <c r="I17">
        <v>92000.0</v>
      </c>
      <c r="J17">
        <v>18000.0</v>
      </c>
      <c r="K17">
        <v>18000.0</v>
      </c>
    </row>
    <row r="18">
      <c r="A18" s="22">
        <v>0.0</v>
      </c>
      <c r="B18" s="22">
        <v>5000.0</v>
      </c>
      <c r="I18">
        <v>93000.0</v>
      </c>
      <c r="J18">
        <v>22000.0</v>
      </c>
      <c r="K18">
        <v>21500.0</v>
      </c>
    </row>
    <row r="19">
      <c r="A19" s="22">
        <v>30000.0</v>
      </c>
      <c r="B19" s="22">
        <v>10000.0</v>
      </c>
    </row>
    <row r="20">
      <c r="A20" s="22">
        <v>60000.0</v>
      </c>
      <c r="B20" s="22">
        <v>30000.0</v>
      </c>
    </row>
    <row r="21" ht="15.75" customHeight="1">
      <c r="A21" s="22">
        <v>80000.0</v>
      </c>
      <c r="B21" s="22">
        <v>60000.0</v>
      </c>
    </row>
    <row r="22" ht="15.75" customHeight="1">
      <c r="A22" s="22">
        <v>90000.0</v>
      </c>
      <c r="B22" s="22">
        <v>90000.0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7CAAC"/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G1" t="s">
        <v>156</v>
      </c>
    </row>
    <row r="4">
      <c r="A4" s="25" t="s">
        <v>157</v>
      </c>
      <c r="B4" s="26"/>
      <c r="C4" s="26"/>
      <c r="D4" s="27">
        <v>10.0</v>
      </c>
    </row>
    <row r="5">
      <c r="A5" s="28" t="s">
        <v>158</v>
      </c>
      <c r="B5" s="29"/>
      <c r="C5" s="29"/>
      <c r="D5" s="30">
        <v>5.0</v>
      </c>
    </row>
    <row r="7">
      <c r="A7" s="31" t="s">
        <v>159</v>
      </c>
      <c r="B7" s="31" t="s">
        <v>160</v>
      </c>
      <c r="C7" s="31" t="s">
        <v>161</v>
      </c>
      <c r="D7" s="31" t="s">
        <v>162</v>
      </c>
      <c r="E7" s="18" t="s">
        <v>163</v>
      </c>
      <c r="F7" s="18" t="s">
        <v>164</v>
      </c>
      <c r="G7" s="18" t="s">
        <v>164</v>
      </c>
      <c r="H7" s="18" t="s">
        <v>164</v>
      </c>
    </row>
    <row r="8">
      <c r="A8" s="31" t="s">
        <v>165</v>
      </c>
      <c r="B8" s="31" t="s">
        <v>166</v>
      </c>
      <c r="C8" s="31" t="s">
        <v>167</v>
      </c>
      <c r="D8" s="31" t="s">
        <v>168</v>
      </c>
      <c r="E8" s="18" t="s">
        <v>169</v>
      </c>
      <c r="F8" s="18" t="s">
        <v>170</v>
      </c>
      <c r="G8" s="18" t="s">
        <v>171</v>
      </c>
      <c r="H8" s="18" t="s">
        <v>172</v>
      </c>
    </row>
    <row r="9">
      <c r="A9" s="31"/>
      <c r="B9" s="31" t="s">
        <v>173</v>
      </c>
      <c r="C9" s="31"/>
      <c r="D9" s="31"/>
      <c r="E9" s="18"/>
      <c r="F9" s="18" t="s">
        <v>174</v>
      </c>
      <c r="G9" s="18" t="s">
        <v>174</v>
      </c>
      <c r="H9" s="18" t="s">
        <v>174</v>
      </c>
    </row>
    <row r="10">
      <c r="A10" s="32"/>
      <c r="B10" s="32"/>
      <c r="C10" s="32"/>
      <c r="D10" s="32"/>
    </row>
    <row r="11">
      <c r="A11" s="32" t="s">
        <v>175</v>
      </c>
      <c r="B11" s="32">
        <v>20.0</v>
      </c>
      <c r="C11" s="32">
        <v>40.0</v>
      </c>
      <c r="D11" s="32">
        <v>440.0</v>
      </c>
      <c r="E11" t="str">
        <f>MAX(D11-(C11*D$4),0)</f>
        <v>40</v>
      </c>
      <c r="F11" t="str">
        <f t="shared" ref="F11:F15" si="1">B11*C11</f>
        <v>800</v>
      </c>
      <c r="G11" t="str">
        <f t="shared" ref="G11:G15" si="2">E11*$D$5</f>
        <v>200</v>
      </c>
      <c r="H11" t="str">
        <f t="shared" ref="H11:H15" si="3">F11+G11</f>
        <v>1000</v>
      </c>
    </row>
    <row r="12">
      <c r="A12" s="32" t="s">
        <v>176</v>
      </c>
      <c r="B12" s="32">
        <v>25.0</v>
      </c>
      <c r="C12" s="32">
        <v>48.0</v>
      </c>
      <c r="D12" s="32">
        <v>530.0</v>
      </c>
      <c r="E12" t="str">
        <f t="shared" ref="E12:E15" si="4">MAX(D12-C12*$D$4, 0)</f>
        <v>50</v>
      </c>
      <c r="F12" t="str">
        <f t="shared" si="1"/>
        <v>1200</v>
      </c>
      <c r="G12" t="str">
        <f t="shared" si="2"/>
        <v>250</v>
      </c>
      <c r="H12" t="str">
        <f t="shared" si="3"/>
        <v>1450</v>
      </c>
    </row>
    <row r="13">
      <c r="A13" s="32" t="s">
        <v>177</v>
      </c>
      <c r="B13" s="32">
        <v>25.0</v>
      </c>
      <c r="C13" s="32">
        <v>56.0</v>
      </c>
      <c r="D13" s="32">
        <v>490.0</v>
      </c>
      <c r="E13" t="str">
        <f t="shared" si="4"/>
        <v>0</v>
      </c>
      <c r="F13" t="str">
        <f t="shared" si="1"/>
        <v>1400</v>
      </c>
      <c r="G13" t="str">
        <f t="shared" si="2"/>
        <v>0</v>
      </c>
      <c r="H13" t="str">
        <f t="shared" si="3"/>
        <v>1400</v>
      </c>
    </row>
    <row r="14">
      <c r="A14" s="32" t="s">
        <v>178</v>
      </c>
      <c r="B14" s="32">
        <v>20.0</v>
      </c>
      <c r="C14" s="32">
        <v>32.0</v>
      </c>
      <c r="D14" s="32">
        <v>350.0</v>
      </c>
      <c r="E14" t="str">
        <f t="shared" si="4"/>
        <v>30</v>
      </c>
      <c r="F14" t="str">
        <f t="shared" si="1"/>
        <v>640</v>
      </c>
      <c r="G14" t="str">
        <f t="shared" si="2"/>
        <v>150</v>
      </c>
      <c r="H14" t="str">
        <f t="shared" si="3"/>
        <v>790</v>
      </c>
    </row>
    <row r="15">
      <c r="A15" s="32" t="s">
        <v>179</v>
      </c>
      <c r="B15" s="32">
        <v>30.0</v>
      </c>
      <c r="C15" s="32">
        <v>40.0</v>
      </c>
      <c r="D15" s="32">
        <v>350.0</v>
      </c>
      <c r="E15" t="str">
        <f t="shared" si="4"/>
        <v>0</v>
      </c>
      <c r="F15" t="str">
        <f t="shared" si="1"/>
        <v>1200</v>
      </c>
      <c r="G15" t="str">
        <f t="shared" si="2"/>
        <v>0</v>
      </c>
      <c r="H15" t="str">
        <f t="shared" si="3"/>
        <v>1200</v>
      </c>
    </row>
    <row r="17">
      <c r="E17" s="18" t="s">
        <v>180</v>
      </c>
      <c r="F17" t="str">
        <f t="shared" ref="F17:H17" si="5">SUM(F11:F16)</f>
        <v>5240</v>
      </c>
      <c r="G17" t="str">
        <f t="shared" si="5"/>
        <v>600</v>
      </c>
      <c r="H17" t="str">
        <f t="shared" si="5"/>
        <v>5840</v>
      </c>
    </row>
    <row r="18">
      <c r="E18" s="18" t="s">
        <v>181</v>
      </c>
      <c r="H18" s="33" t="str">
        <f>G17/H17</f>
        <v>10.27%</v>
      </c>
      <c r="J18" s="33"/>
    </row>
    <row r="21" ht="15.75" customHeight="1"/>
    <row r="22" ht="15.75" customHeight="1"/>
    <row r="23" ht="15.75" customHeight="1">
      <c r="G23" s="34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7CAAC"/>
    <pageSetUpPr/>
  </sheetPr>
  <sheetViews>
    <sheetView workbookViewId="0"/>
  </sheetViews>
  <sheetFormatPr customHeight="1" defaultColWidth="14.43" defaultRowHeight="15.0"/>
  <cols>
    <col customWidth="1" min="1" max="12" width="8.71"/>
  </cols>
  <sheetData>
    <row r="4">
      <c r="A4" s="25" t="s">
        <v>157</v>
      </c>
      <c r="B4" s="26"/>
      <c r="C4" s="26"/>
      <c r="D4" s="27">
        <v>10.0</v>
      </c>
    </row>
    <row r="5">
      <c r="A5" s="28" t="s">
        <v>158</v>
      </c>
      <c r="B5" s="29"/>
      <c r="C5" s="29"/>
      <c r="D5" s="30">
        <v>5.0</v>
      </c>
    </row>
    <row r="6">
      <c r="K6" s="31" t="s">
        <v>182</v>
      </c>
      <c r="L6" s="31" t="s">
        <v>183</v>
      </c>
    </row>
    <row r="7">
      <c r="A7" s="31" t="s">
        <v>159</v>
      </c>
      <c r="B7" s="31" t="s">
        <v>159</v>
      </c>
      <c r="C7" s="18" t="s">
        <v>160</v>
      </c>
      <c r="D7" s="31" t="s">
        <v>161</v>
      </c>
      <c r="E7" s="31" t="s">
        <v>162</v>
      </c>
      <c r="F7" s="18" t="s">
        <v>163</v>
      </c>
      <c r="G7" s="18" t="s">
        <v>164</v>
      </c>
      <c r="H7" s="18" t="s">
        <v>164</v>
      </c>
      <c r="I7" s="18" t="s">
        <v>164</v>
      </c>
      <c r="K7" s="35" t="s">
        <v>111</v>
      </c>
      <c r="L7" s="32">
        <v>20.0</v>
      </c>
    </row>
    <row r="8">
      <c r="A8" s="31" t="s">
        <v>165</v>
      </c>
      <c r="B8" s="31" t="s">
        <v>184</v>
      </c>
      <c r="C8" s="18" t="s">
        <v>166</v>
      </c>
      <c r="D8" s="31" t="s">
        <v>167</v>
      </c>
      <c r="E8" s="31" t="s">
        <v>168</v>
      </c>
      <c r="F8" s="18" t="s">
        <v>169</v>
      </c>
      <c r="G8" s="18" t="s">
        <v>170</v>
      </c>
      <c r="H8" s="18" t="s">
        <v>171</v>
      </c>
      <c r="I8" s="18" t="s">
        <v>172</v>
      </c>
      <c r="K8" s="35" t="s">
        <v>185</v>
      </c>
      <c r="L8" s="32">
        <v>25.0</v>
      </c>
    </row>
    <row r="9">
      <c r="A9" s="31"/>
      <c r="B9" s="31"/>
      <c r="C9" s="18" t="s">
        <v>173</v>
      </c>
      <c r="D9" s="31"/>
      <c r="E9" s="31"/>
      <c r="F9" s="18"/>
      <c r="G9" s="18" t="s">
        <v>174</v>
      </c>
      <c r="H9" s="18" t="s">
        <v>174</v>
      </c>
      <c r="I9" s="18" t="s">
        <v>174</v>
      </c>
      <c r="K9" s="35" t="s">
        <v>186</v>
      </c>
      <c r="L9" s="32">
        <v>30.0</v>
      </c>
    </row>
    <row r="10">
      <c r="A10" s="32"/>
      <c r="B10" s="32"/>
      <c r="D10" s="32"/>
      <c r="E10" s="32"/>
      <c r="K10" s="35" t="s">
        <v>187</v>
      </c>
      <c r="L10" s="32">
        <v>40.0</v>
      </c>
    </row>
    <row r="11">
      <c r="A11" s="32" t="s">
        <v>175</v>
      </c>
      <c r="B11" s="32" t="s">
        <v>188</v>
      </c>
      <c r="C11" t="str">
        <f t="shared" ref="C11:C15" si="1">VLOOKUP(B11, $K$7:$L$11, 2, FALSE)</f>
        <v>45</v>
      </c>
      <c r="D11" s="32">
        <v>40.0</v>
      </c>
      <c r="E11" s="32">
        <v>440.0</v>
      </c>
      <c r="F11" t="str">
        <f t="shared" ref="F11:F15" si="2">IF(E11-(D11*D$4)&gt;0,E11-(D11*D$4),0)</f>
        <v>40</v>
      </c>
      <c r="G11" t="str">
        <f t="shared" ref="G11:G15" si="3">C11*D11</f>
        <v>1800</v>
      </c>
      <c r="H11" t="str">
        <f t="shared" ref="H11:H15" si="4">F11*D$5</f>
        <v>200</v>
      </c>
      <c r="I11" t="str">
        <f t="shared" ref="I11:I15" si="5">G11+H11</f>
        <v>2000</v>
      </c>
      <c r="K11" s="35" t="s">
        <v>188</v>
      </c>
      <c r="L11" s="32">
        <v>45.0</v>
      </c>
    </row>
    <row r="12">
      <c r="A12" s="32" t="s">
        <v>176</v>
      </c>
      <c r="B12" s="32" t="s">
        <v>187</v>
      </c>
      <c r="C12" t="str">
        <f t="shared" si="1"/>
        <v>40</v>
      </c>
      <c r="D12" s="32">
        <v>48.0</v>
      </c>
      <c r="E12" s="32">
        <v>530.0</v>
      </c>
      <c r="F12" t="str">
        <f t="shared" si="2"/>
        <v>50</v>
      </c>
      <c r="G12" t="str">
        <f t="shared" si="3"/>
        <v>1920</v>
      </c>
      <c r="H12" t="str">
        <f t="shared" si="4"/>
        <v>250</v>
      </c>
      <c r="I12" t="str">
        <f t="shared" si="5"/>
        <v>2170</v>
      </c>
    </row>
    <row r="13">
      <c r="A13" s="32" t="s">
        <v>177</v>
      </c>
      <c r="B13" s="32" t="s">
        <v>186</v>
      </c>
      <c r="C13" t="str">
        <f t="shared" si="1"/>
        <v>30</v>
      </c>
      <c r="D13" s="32">
        <v>56.0</v>
      </c>
      <c r="E13" s="32">
        <v>490.0</v>
      </c>
      <c r="F13" t="str">
        <f t="shared" si="2"/>
        <v>0</v>
      </c>
      <c r="G13" t="str">
        <f t="shared" si="3"/>
        <v>1680</v>
      </c>
      <c r="H13" t="str">
        <f t="shared" si="4"/>
        <v>0</v>
      </c>
      <c r="I13" t="str">
        <f t="shared" si="5"/>
        <v>1680</v>
      </c>
    </row>
    <row r="14">
      <c r="A14" s="32" t="s">
        <v>178</v>
      </c>
      <c r="B14" s="32" t="s">
        <v>185</v>
      </c>
      <c r="C14" t="str">
        <f t="shared" si="1"/>
        <v>25</v>
      </c>
      <c r="D14" s="32">
        <v>32.0</v>
      </c>
      <c r="E14" s="32">
        <v>350.0</v>
      </c>
      <c r="F14" t="str">
        <f t="shared" si="2"/>
        <v>30</v>
      </c>
      <c r="G14" t="str">
        <f t="shared" si="3"/>
        <v>800</v>
      </c>
      <c r="H14" t="str">
        <f t="shared" si="4"/>
        <v>150</v>
      </c>
      <c r="I14" t="str">
        <f t="shared" si="5"/>
        <v>950</v>
      </c>
    </row>
    <row r="15">
      <c r="A15" s="32" t="s">
        <v>179</v>
      </c>
      <c r="B15" s="32" t="s">
        <v>111</v>
      </c>
      <c r="C15" t="str">
        <f t="shared" si="1"/>
        <v>20</v>
      </c>
      <c r="D15" s="32">
        <v>40.0</v>
      </c>
      <c r="E15" s="32">
        <v>350.0</v>
      </c>
      <c r="F15" t="str">
        <f t="shared" si="2"/>
        <v>0</v>
      </c>
      <c r="G15" t="str">
        <f t="shared" si="3"/>
        <v>800</v>
      </c>
      <c r="H15" t="str">
        <f t="shared" si="4"/>
        <v>0</v>
      </c>
      <c r="I15" t="str">
        <f t="shared" si="5"/>
        <v>800</v>
      </c>
    </row>
    <row r="17">
      <c r="F17" t="s">
        <v>180</v>
      </c>
      <c r="G17" t="str">
        <f t="shared" ref="G17:I17" si="6">SUM(G11:G15)</f>
        <v>7000</v>
      </c>
      <c r="H17" t="str">
        <f t="shared" si="6"/>
        <v>600</v>
      </c>
      <c r="I17" t="str">
        <f t="shared" si="6"/>
        <v>7600</v>
      </c>
    </row>
    <row r="18">
      <c r="F18" t="s">
        <v>181</v>
      </c>
      <c r="I18" t="str">
        <f>100*H17/I17</f>
        <v>7.894736842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7CAAC"/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15.14"/>
    <col customWidth="1" min="12" max="12" width="8.71"/>
  </cols>
  <sheetData>
    <row r="4">
      <c r="A4" s="25" t="s">
        <v>157</v>
      </c>
      <c r="B4" s="26"/>
      <c r="C4" s="26"/>
      <c r="D4" s="27">
        <v>10.0</v>
      </c>
    </row>
    <row r="5">
      <c r="A5" s="28" t="s">
        <v>158</v>
      </c>
      <c r="B5" s="29"/>
      <c r="C5" s="29"/>
      <c r="D5" s="30">
        <v>5.0</v>
      </c>
    </row>
    <row r="6">
      <c r="K6" s="31" t="s">
        <v>189</v>
      </c>
      <c r="L6" s="31" t="s">
        <v>183</v>
      </c>
    </row>
    <row r="7">
      <c r="A7" s="31" t="s">
        <v>159</v>
      </c>
      <c r="B7" s="31" t="s">
        <v>190</v>
      </c>
      <c r="C7" s="18" t="s">
        <v>160</v>
      </c>
      <c r="D7" s="31" t="s">
        <v>161</v>
      </c>
      <c r="E7" s="31" t="s">
        <v>162</v>
      </c>
      <c r="F7" s="18" t="s">
        <v>163</v>
      </c>
      <c r="G7" s="18" t="s">
        <v>164</v>
      </c>
      <c r="H7" s="18" t="s">
        <v>164</v>
      </c>
      <c r="I7" s="18" t="s">
        <v>164</v>
      </c>
      <c r="K7" s="35">
        <v>0.0</v>
      </c>
      <c r="L7" s="32">
        <v>20.0</v>
      </c>
    </row>
    <row r="8">
      <c r="A8" s="31" t="s">
        <v>165</v>
      </c>
      <c r="B8" s="31"/>
      <c r="C8" s="18" t="s">
        <v>166</v>
      </c>
      <c r="D8" s="31" t="s">
        <v>167</v>
      </c>
      <c r="E8" s="31" t="s">
        <v>168</v>
      </c>
      <c r="F8" s="18" t="s">
        <v>169</v>
      </c>
      <c r="G8" s="18" t="s">
        <v>170</v>
      </c>
      <c r="H8" s="18" t="s">
        <v>171</v>
      </c>
      <c r="I8" s="18" t="s">
        <v>172</v>
      </c>
      <c r="K8" s="35">
        <v>10.01</v>
      </c>
      <c r="L8" s="32">
        <v>25.0</v>
      </c>
    </row>
    <row r="9">
      <c r="A9" s="31"/>
      <c r="B9" s="31"/>
      <c r="C9" s="18" t="s">
        <v>173</v>
      </c>
      <c r="D9" s="31"/>
      <c r="E9" s="31"/>
      <c r="F9" s="18"/>
      <c r="G9" s="18" t="s">
        <v>174</v>
      </c>
      <c r="H9" s="18" t="s">
        <v>174</v>
      </c>
      <c r="I9" s="18" t="s">
        <v>174</v>
      </c>
      <c r="K9" s="35">
        <v>20.01</v>
      </c>
      <c r="L9" s="32">
        <v>30.0</v>
      </c>
    </row>
    <row r="10">
      <c r="A10" s="32"/>
      <c r="B10" s="32"/>
      <c r="D10" s="32"/>
      <c r="E10" s="32"/>
      <c r="K10" s="35">
        <v>30.01</v>
      </c>
      <c r="L10" s="32">
        <v>40.0</v>
      </c>
    </row>
    <row r="11">
      <c r="A11" s="32" t="s">
        <v>175</v>
      </c>
      <c r="B11" s="32">
        <v>10.5</v>
      </c>
      <c r="C11" t="str">
        <f t="shared" ref="C11:C15" si="1">VLOOKUP(B11,$K$7:$L$11,2,1)</f>
        <v>25</v>
      </c>
      <c r="D11" s="32">
        <v>40.0</v>
      </c>
      <c r="E11" s="32">
        <v>440.0</v>
      </c>
      <c r="F11" t="str">
        <f t="shared" ref="F11:F15" si="2">MAX(E11-(D11*D$4),0)</f>
        <v>40</v>
      </c>
      <c r="G11" t="str">
        <f t="shared" ref="G11:G15" si="3">C11*D11</f>
        <v>1000</v>
      </c>
      <c r="H11" t="str">
        <f t="shared" ref="H11:H15" si="4">F11*D$5</f>
        <v>200</v>
      </c>
      <c r="I11" t="str">
        <f t="shared" ref="I11:I15" si="5">G11+H11</f>
        <v>1200</v>
      </c>
      <c r="K11" s="35">
        <v>40.01</v>
      </c>
      <c r="L11" s="32">
        <v>60.0</v>
      </c>
    </row>
    <row r="12">
      <c r="A12" s="32" t="s">
        <v>176</v>
      </c>
      <c r="B12" s="32">
        <v>20.5</v>
      </c>
      <c r="C12" t="str">
        <f t="shared" si="1"/>
        <v>30</v>
      </c>
      <c r="D12" s="32">
        <v>48.0</v>
      </c>
      <c r="E12" s="32">
        <v>530.0</v>
      </c>
      <c r="F12" t="str">
        <f t="shared" si="2"/>
        <v>50</v>
      </c>
      <c r="G12" t="str">
        <f t="shared" si="3"/>
        <v>1440</v>
      </c>
      <c r="H12" t="str">
        <f t="shared" si="4"/>
        <v>250</v>
      </c>
      <c r="I12" t="str">
        <f t="shared" si="5"/>
        <v>1690</v>
      </c>
    </row>
    <row r="13">
      <c r="A13" s="32" t="s">
        <v>177</v>
      </c>
      <c r="B13" s="32">
        <v>42.0</v>
      </c>
      <c r="C13" t="str">
        <f t="shared" si="1"/>
        <v>60</v>
      </c>
      <c r="D13" s="32">
        <v>56.0</v>
      </c>
      <c r="E13" s="32">
        <v>490.0</v>
      </c>
      <c r="F13" t="str">
        <f t="shared" si="2"/>
        <v>0</v>
      </c>
      <c r="G13" t="str">
        <f t="shared" si="3"/>
        <v>3360</v>
      </c>
      <c r="H13" t="str">
        <f t="shared" si="4"/>
        <v>0</v>
      </c>
      <c r="I13" t="str">
        <f t="shared" si="5"/>
        <v>3360</v>
      </c>
    </row>
    <row r="14">
      <c r="A14" s="32" t="s">
        <v>178</v>
      </c>
      <c r="B14" s="32">
        <v>35.0</v>
      </c>
      <c r="C14" t="str">
        <f t="shared" si="1"/>
        <v>40</v>
      </c>
      <c r="D14" s="32">
        <v>32.0</v>
      </c>
      <c r="E14" s="32">
        <v>350.0</v>
      </c>
      <c r="F14" t="str">
        <f t="shared" si="2"/>
        <v>30</v>
      </c>
      <c r="G14" t="str">
        <f t="shared" si="3"/>
        <v>1280</v>
      </c>
      <c r="H14" t="str">
        <f t="shared" si="4"/>
        <v>150</v>
      </c>
      <c r="I14" t="str">
        <f t="shared" si="5"/>
        <v>1430</v>
      </c>
    </row>
    <row r="15">
      <c r="A15" s="32" t="s">
        <v>179</v>
      </c>
      <c r="B15" s="32">
        <v>6.0</v>
      </c>
      <c r="C15" t="str">
        <f t="shared" si="1"/>
        <v>20</v>
      </c>
      <c r="D15" s="32">
        <v>40.0</v>
      </c>
      <c r="E15" s="32">
        <v>350.0</v>
      </c>
      <c r="F15" t="str">
        <f t="shared" si="2"/>
        <v>0</v>
      </c>
      <c r="G15" t="str">
        <f t="shared" si="3"/>
        <v>800</v>
      </c>
      <c r="H15" t="str">
        <f t="shared" si="4"/>
        <v>0</v>
      </c>
      <c r="I15" t="str">
        <f t="shared" si="5"/>
        <v>800</v>
      </c>
    </row>
    <row r="17">
      <c r="F17" t="s">
        <v>180</v>
      </c>
      <c r="G17" t="str">
        <f t="shared" ref="G17:I17" si="6">SUM(G11:G15)</f>
        <v>7880</v>
      </c>
      <c r="H17" t="str">
        <f t="shared" si="6"/>
        <v>600</v>
      </c>
      <c r="I17" t="str">
        <f t="shared" si="6"/>
        <v>8480</v>
      </c>
    </row>
    <row r="18">
      <c r="F18" t="s">
        <v>181</v>
      </c>
      <c r="I18" t="str">
        <f>100*H17/I17</f>
        <v>7.075471698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3.0"/>
    <col customWidth="1" min="9" max="16" width="8.71"/>
  </cols>
  <sheetData>
    <row r="3">
      <c r="I3" t="s">
        <v>191</v>
      </c>
    </row>
    <row r="5">
      <c r="B5" t="s">
        <v>192</v>
      </c>
      <c r="C5" t="s">
        <v>193</v>
      </c>
      <c r="D5" t="s">
        <v>194</v>
      </c>
    </row>
    <row r="6">
      <c r="B6" t="s">
        <v>195</v>
      </c>
      <c r="C6">
        <v>2880.0</v>
      </c>
      <c r="D6">
        <v>1920.0</v>
      </c>
    </row>
    <row r="7">
      <c r="B7" t="s">
        <v>196</v>
      </c>
      <c r="C7">
        <v>8280.0</v>
      </c>
      <c r="D7">
        <v>5520.0</v>
      </c>
    </row>
    <row r="8">
      <c r="B8" t="s">
        <v>197</v>
      </c>
      <c r="C8">
        <v>9840.0</v>
      </c>
      <c r="D8">
        <v>6560.0</v>
      </c>
      <c r="H8" t="s">
        <v>198</v>
      </c>
      <c r="I8" s="36">
        <v>12000.0</v>
      </c>
    </row>
    <row r="9">
      <c r="B9" t="s">
        <v>199</v>
      </c>
      <c r="C9">
        <v>14160.0</v>
      </c>
      <c r="D9">
        <v>9540.0</v>
      </c>
      <c r="H9" t="s">
        <v>200</v>
      </c>
      <c r="I9" s="36" t="s">
        <v>194</v>
      </c>
      <c r="J9" s="37" t="str">
        <f>MATCH(I9, B5:D5, 0)</f>
        <v>3</v>
      </c>
      <c r="K9" t="s">
        <v>201</v>
      </c>
      <c r="L9" t="str">
        <f>MATCH(I9, B5:D5, 0)</f>
        <v>3</v>
      </c>
    </row>
    <row r="10">
      <c r="B10" t="s">
        <v>202</v>
      </c>
      <c r="C10">
        <v>16290.0</v>
      </c>
      <c r="D10">
        <v>10860.0</v>
      </c>
      <c r="H10" t="s">
        <v>203</v>
      </c>
      <c r="I10" s="36" t="s">
        <v>199</v>
      </c>
      <c r="J10" s="37" t="str">
        <f>IF(VLOOKUP(I10, B5:D16, J9, FALSE)&lt;I8, "Yes", "No")</f>
        <v>Yes</v>
      </c>
      <c r="K10" t="s">
        <v>204</v>
      </c>
      <c r="L10" t="str">
        <f>IF(VLOOKUP(I10, B5:D16, L9, 0)&lt;I8, "Yes", "No")</f>
        <v>Yes</v>
      </c>
    </row>
    <row r="11">
      <c r="B11" t="s">
        <v>205</v>
      </c>
      <c r="C11">
        <v>17600.0</v>
      </c>
      <c r="D11">
        <v>13000.0</v>
      </c>
      <c r="H11" t="s">
        <v>206</v>
      </c>
      <c r="J11" s="37" t="str">
        <f>OFFSET(B5, IF(I9="Executive", MATCH(I8, C6:C16), MATCH(I8, D6:D16)), 0)</f>
        <v>Hyderabad</v>
      </c>
      <c r="K11" t="s">
        <v>207</v>
      </c>
      <c r="O11" t="str">
        <f>HLOOKUP(I9, B5:D16, MATCH(I8, C5:C16,1), FALSE)</f>
        <v>6560</v>
      </c>
      <c r="P11" t="str">
        <f>MATCH(I8, C5:C16,1)</f>
        <v>4</v>
      </c>
    </row>
    <row r="12">
      <c r="B12" t="s">
        <v>208</v>
      </c>
      <c r="C12">
        <v>17600.0</v>
      </c>
      <c r="D12">
        <v>13040.0</v>
      </c>
      <c r="H12" t="s">
        <v>209</v>
      </c>
      <c r="J12" s="37" t="str">
        <f>I8-VLOOKUP(J11, B5:D16, 3, FALSE)</f>
        <v>1140</v>
      </c>
      <c r="K12" t="s">
        <v>210</v>
      </c>
    </row>
    <row r="13">
      <c r="B13" t="s">
        <v>211</v>
      </c>
      <c r="C13">
        <v>20100.0</v>
      </c>
      <c r="D13">
        <v>14900.0</v>
      </c>
    </row>
    <row r="14">
      <c r="B14" t="s">
        <v>212</v>
      </c>
      <c r="C14">
        <v>23220.0</v>
      </c>
      <c r="D14">
        <v>15480.0</v>
      </c>
    </row>
    <row r="15">
      <c r="B15" t="s">
        <v>213</v>
      </c>
      <c r="C15">
        <v>26220.0</v>
      </c>
      <c r="D15">
        <v>17480.0</v>
      </c>
      <c r="J15" s="24" t="str">
        <f t="array" ref="J15">INDEX(B5:B16,MATCH(I8,OFFSET(A5:A16,0,J9),1))</f>
        <v>Hyderabad</v>
      </c>
      <c r="L15" s="24" t="s">
        <v>214</v>
      </c>
    </row>
    <row r="16">
      <c r="B16" t="s">
        <v>215</v>
      </c>
      <c r="C16">
        <v>35160.0</v>
      </c>
      <c r="D16">
        <v>23440.0</v>
      </c>
      <c r="L16" s="24" t="s">
        <v>216</v>
      </c>
    </row>
    <row r="17">
      <c r="H17" t="str">
        <f>OFFSET(A5:D16, MATCH(HLOOKUP(I9, B5:D16, MATCH(I8, D6:D16)+1, 0), B5:D16, 0), J9)</f>
        <v>#N/A</v>
      </c>
      <c r="L17" s="24" t="s">
        <v>217</v>
      </c>
    </row>
    <row r="18">
      <c r="H18" t="str">
        <f>HLOOKUP(I9, B5:D16, MATCH(I8, D6:D16)+1, 0)</f>
        <v>10860</v>
      </c>
      <c r="L18" s="24" t="s">
        <v>218</v>
      </c>
    </row>
    <row r="19">
      <c r="H19" t="str">
        <f>IF(I9="Executive", MATCH(I8, C6:C16), MATCH(I8, D6:D16))</f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71"/>
    <col customWidth="1" min="3" max="3" width="9.43"/>
    <col customWidth="1" min="4" max="25" width="8.71"/>
  </cols>
  <sheetData>
    <row r="1">
      <c r="A1" s="18" t="s">
        <v>219</v>
      </c>
      <c r="B1" s="18" t="s">
        <v>220</v>
      </c>
      <c r="C1" s="38" t="s">
        <v>221</v>
      </c>
      <c r="D1" s="38" t="s">
        <v>222</v>
      </c>
      <c r="E1" s="38" t="s">
        <v>223</v>
      </c>
      <c r="F1" s="38" t="s">
        <v>224</v>
      </c>
      <c r="G1" s="38" t="s">
        <v>225</v>
      </c>
      <c r="H1" s="18" t="s">
        <v>226</v>
      </c>
    </row>
    <row r="2">
      <c r="A2" s="39">
        <v>1.0</v>
      </c>
      <c r="B2" t="s">
        <v>227</v>
      </c>
      <c r="C2">
        <v>28.0</v>
      </c>
      <c r="D2">
        <v>3.0</v>
      </c>
      <c r="E2" t="s">
        <v>228</v>
      </c>
      <c r="F2">
        <v>1500.0</v>
      </c>
      <c r="G2" t="s">
        <v>111</v>
      </c>
      <c r="H2" s="39">
        <v>10.0</v>
      </c>
      <c r="I2" s="38"/>
    </row>
    <row r="3">
      <c r="A3" s="39">
        <v>2.0</v>
      </c>
      <c r="B3" t="s">
        <v>229</v>
      </c>
      <c r="C3">
        <v>30.0</v>
      </c>
      <c r="D3">
        <v>4.0</v>
      </c>
      <c r="E3" t="s">
        <v>230</v>
      </c>
      <c r="F3">
        <v>1600.0</v>
      </c>
      <c r="G3" t="s">
        <v>111</v>
      </c>
      <c r="H3" s="39">
        <v>20.0</v>
      </c>
      <c r="I3" s="38"/>
      <c r="R3" t="s">
        <v>231</v>
      </c>
    </row>
    <row r="4">
      <c r="A4" s="39">
        <v>3.0</v>
      </c>
      <c r="B4" t="s">
        <v>232</v>
      </c>
      <c r="C4">
        <v>26.0</v>
      </c>
      <c r="D4">
        <v>2.0</v>
      </c>
      <c r="E4" t="s">
        <v>230</v>
      </c>
      <c r="F4">
        <v>1400.0</v>
      </c>
      <c r="G4" t="s">
        <v>185</v>
      </c>
      <c r="H4" s="39">
        <v>30.0</v>
      </c>
      <c r="I4" s="38"/>
      <c r="J4" s="24" t="s">
        <v>233</v>
      </c>
      <c r="K4" s="24"/>
      <c r="L4" s="24"/>
      <c r="M4" s="24"/>
      <c r="R4" t="s">
        <v>234</v>
      </c>
      <c r="V4" t="s">
        <v>235</v>
      </c>
    </row>
    <row r="5">
      <c r="A5" s="39">
        <v>4.0</v>
      </c>
      <c r="B5" t="s">
        <v>236</v>
      </c>
      <c r="C5">
        <v>32.0</v>
      </c>
      <c r="D5">
        <v>8.0</v>
      </c>
      <c r="E5" t="s">
        <v>228</v>
      </c>
      <c r="F5">
        <v>2000.0</v>
      </c>
      <c r="G5" t="s">
        <v>185</v>
      </c>
      <c r="H5" s="39">
        <v>40.0</v>
      </c>
      <c r="I5" s="38"/>
      <c r="J5" t="str">
        <f>DAVERAGE(db, 6, _xlnm.Criteria)</f>
        <v>#VALUE!</v>
      </c>
      <c r="R5" t="s">
        <v>237</v>
      </c>
      <c r="V5" t="s">
        <v>235</v>
      </c>
    </row>
    <row r="6">
      <c r="A6" s="39">
        <v>5.0</v>
      </c>
      <c r="B6" t="s">
        <v>238</v>
      </c>
      <c r="C6">
        <v>29.0</v>
      </c>
      <c r="D6">
        <v>4.0</v>
      </c>
      <c r="E6" t="s">
        <v>230</v>
      </c>
      <c r="F6">
        <v>1400.0</v>
      </c>
      <c r="G6" t="s">
        <v>111</v>
      </c>
      <c r="H6" s="39">
        <v>50.0</v>
      </c>
      <c r="I6" s="38"/>
      <c r="J6" s="24" t="s">
        <v>239</v>
      </c>
      <c r="K6" s="24"/>
      <c r="L6" s="24"/>
      <c r="M6" s="24"/>
    </row>
    <row r="7">
      <c r="A7" s="39">
        <v>6.0</v>
      </c>
      <c r="B7" t="s">
        <v>240</v>
      </c>
      <c r="C7">
        <v>33.0</v>
      </c>
      <c r="D7">
        <v>9.0</v>
      </c>
      <c r="E7" t="s">
        <v>230</v>
      </c>
      <c r="F7">
        <v>2200.0</v>
      </c>
      <c r="G7" t="s">
        <v>186</v>
      </c>
      <c r="H7" s="39">
        <v>60.0</v>
      </c>
      <c r="I7" s="38"/>
      <c r="J7" t="str">
        <f>DSUM(db, 6, _xlnm.Criteria)</f>
        <v>#VALUE!</v>
      </c>
      <c r="R7" t="s">
        <v>241</v>
      </c>
    </row>
    <row r="8">
      <c r="A8" s="39">
        <v>7.0</v>
      </c>
      <c r="B8" t="s">
        <v>242</v>
      </c>
      <c r="C8">
        <v>44.0</v>
      </c>
      <c r="D8">
        <v>20.0</v>
      </c>
      <c r="E8" t="s">
        <v>228</v>
      </c>
      <c r="F8">
        <v>1500.0</v>
      </c>
      <c r="G8" t="s">
        <v>186</v>
      </c>
      <c r="H8" s="39">
        <v>70.0</v>
      </c>
      <c r="I8" s="38"/>
      <c r="J8" s="40" t="s">
        <v>243</v>
      </c>
      <c r="K8" s="41"/>
      <c r="L8" s="41"/>
      <c r="M8" s="24"/>
      <c r="N8" s="38"/>
      <c r="O8" s="38"/>
      <c r="R8" t="s">
        <v>244</v>
      </c>
      <c r="V8" t="s">
        <v>235</v>
      </c>
    </row>
    <row r="9">
      <c r="A9" s="39">
        <v>8.0</v>
      </c>
      <c r="B9" t="s">
        <v>245</v>
      </c>
      <c r="C9">
        <v>34.0</v>
      </c>
      <c r="D9">
        <v>8.0</v>
      </c>
      <c r="E9" t="s">
        <v>230</v>
      </c>
      <c r="F9">
        <v>2000.0</v>
      </c>
      <c r="G9" t="s">
        <v>186</v>
      </c>
      <c r="H9" s="39">
        <v>80.0</v>
      </c>
      <c r="I9" s="38"/>
      <c r="J9" t="str">
        <f>DCOUNT(db, 4, _xlnm.Criteria)</f>
        <v>#VALUE!</v>
      </c>
      <c r="R9" t="s">
        <v>246</v>
      </c>
      <c r="V9" t="s">
        <v>235</v>
      </c>
    </row>
    <row r="10">
      <c r="A10" s="39">
        <v>9.0</v>
      </c>
      <c r="B10" t="s">
        <v>247</v>
      </c>
      <c r="C10">
        <v>44.0</v>
      </c>
      <c r="D10">
        <v>21.0</v>
      </c>
      <c r="E10" t="s">
        <v>230</v>
      </c>
      <c r="F10">
        <v>6000.0</v>
      </c>
      <c r="G10" t="s">
        <v>111</v>
      </c>
      <c r="H10" s="39">
        <v>90.0</v>
      </c>
      <c r="I10" s="38"/>
    </row>
    <row r="11">
      <c r="A11" s="39">
        <v>10.0</v>
      </c>
      <c r="B11" t="s">
        <v>248</v>
      </c>
      <c r="C11">
        <v>27.0</v>
      </c>
      <c r="D11">
        <v>2.0</v>
      </c>
      <c r="E11" t="s">
        <v>230</v>
      </c>
      <c r="F11">
        <v>1100.0</v>
      </c>
      <c r="G11" t="s">
        <v>187</v>
      </c>
      <c r="H11" s="39">
        <v>120.0</v>
      </c>
      <c r="I11" s="38"/>
      <c r="R11" t="s">
        <v>249</v>
      </c>
    </row>
    <row r="12">
      <c r="R12" t="s">
        <v>250</v>
      </c>
      <c r="W12" t="s">
        <v>251</v>
      </c>
    </row>
    <row r="13">
      <c r="J13" t="s">
        <v>252</v>
      </c>
      <c r="R13" t="s">
        <v>253</v>
      </c>
      <c r="W13" t="s">
        <v>239</v>
      </c>
    </row>
    <row r="14">
      <c r="A14" s="18"/>
      <c r="B14" s="18"/>
      <c r="C14" s="38"/>
      <c r="D14" s="38"/>
      <c r="E14" s="38"/>
      <c r="F14" s="38"/>
      <c r="G14" s="38"/>
      <c r="J14" t="s">
        <v>254</v>
      </c>
      <c r="R14" t="s">
        <v>255</v>
      </c>
      <c r="W14" t="s">
        <v>243</v>
      </c>
    </row>
    <row r="15">
      <c r="C15" t="s">
        <v>256</v>
      </c>
      <c r="E15" s="42" t="s">
        <v>220</v>
      </c>
      <c r="F15" s="42" t="s">
        <v>221</v>
      </c>
      <c r="J15" t="s">
        <v>226</v>
      </c>
      <c r="K15" t="s">
        <v>222</v>
      </c>
      <c r="L15" t="s">
        <v>257</v>
      </c>
    </row>
    <row r="16">
      <c r="E16" t="s">
        <v>232</v>
      </c>
      <c r="F16">
        <v>26.0</v>
      </c>
      <c r="G16">
        <v>0.0</v>
      </c>
      <c r="J16" t="s">
        <v>258</v>
      </c>
      <c r="L16" t="str">
        <f>H2&gt;=(F2/10)</f>
        <v>FALSE</v>
      </c>
      <c r="R16" t="s">
        <v>259</v>
      </c>
    </row>
    <row r="17">
      <c r="A17" s="18"/>
      <c r="B17" s="18"/>
      <c r="C17" s="38"/>
      <c r="D17" s="38"/>
      <c r="E17" t="s">
        <v>248</v>
      </c>
      <c r="F17">
        <v>27.0</v>
      </c>
      <c r="K17" t="s">
        <v>260</v>
      </c>
      <c r="R17" t="s">
        <v>261</v>
      </c>
      <c r="W17" t="s">
        <v>262</v>
      </c>
    </row>
    <row r="18">
      <c r="A18" s="39"/>
      <c r="E18" t="s">
        <v>227</v>
      </c>
      <c r="F18">
        <v>28.0</v>
      </c>
      <c r="R18" t="s">
        <v>263</v>
      </c>
      <c r="W18" t="s">
        <v>264</v>
      </c>
    </row>
    <row r="19">
      <c r="A19" s="39"/>
      <c r="E19" t="s">
        <v>238</v>
      </c>
      <c r="F19">
        <v>29.0</v>
      </c>
      <c r="J19" t="s">
        <v>265</v>
      </c>
    </row>
    <row r="20">
      <c r="A20" s="39"/>
      <c r="E20" t="s">
        <v>229</v>
      </c>
      <c r="F20">
        <v>30.0</v>
      </c>
      <c r="J20" s="42" t="s">
        <v>225</v>
      </c>
      <c r="K20" s="42" t="s">
        <v>223</v>
      </c>
      <c r="R20" t="s">
        <v>266</v>
      </c>
    </row>
    <row r="21" ht="15.75" customHeight="1">
      <c r="A21" s="39"/>
      <c r="E21" t="s">
        <v>240</v>
      </c>
      <c r="F21">
        <v>33.0</v>
      </c>
      <c r="J21" s="42" t="s">
        <v>111</v>
      </c>
      <c r="K21" s="42" t="s">
        <v>230</v>
      </c>
      <c r="L21" t="s">
        <v>267</v>
      </c>
      <c r="R21" t="s">
        <v>268</v>
      </c>
      <c r="X21" t="s">
        <v>269</v>
      </c>
    </row>
    <row r="22" ht="15.75" customHeight="1">
      <c r="A22" s="39"/>
      <c r="E22" t="s">
        <v>245</v>
      </c>
      <c r="F22">
        <v>34.0</v>
      </c>
      <c r="J22" s="42"/>
      <c r="K22" s="42"/>
      <c r="L22" t="s">
        <v>270</v>
      </c>
      <c r="R22" t="s">
        <v>271</v>
      </c>
      <c r="X22" t="s">
        <v>269</v>
      </c>
    </row>
    <row r="23" ht="15.75" customHeight="1">
      <c r="E23" t="s">
        <v>247</v>
      </c>
      <c r="F23">
        <v>44.0</v>
      </c>
    </row>
    <row r="24" ht="15.75" customHeight="1">
      <c r="R24" t="s">
        <v>272</v>
      </c>
      <c r="Y24" t="s">
        <v>273</v>
      </c>
    </row>
    <row r="25" ht="15.75" customHeight="1">
      <c r="R25" t="s">
        <v>274</v>
      </c>
      <c r="Y25" t="s">
        <v>275</v>
      </c>
    </row>
    <row r="26" ht="15.75" customHeight="1">
      <c r="A26" s="24" t="s">
        <v>276</v>
      </c>
      <c r="B26" s="24"/>
      <c r="C26" s="24"/>
      <c r="J26" s="24" t="s">
        <v>277</v>
      </c>
    </row>
    <row r="27" ht="15.75" customHeight="1">
      <c r="A27" s="18" t="s">
        <v>219</v>
      </c>
      <c r="B27" s="18" t="s">
        <v>220</v>
      </c>
      <c r="C27" s="38" t="s">
        <v>221</v>
      </c>
      <c r="D27" s="38" t="s">
        <v>222</v>
      </c>
      <c r="E27" s="38" t="s">
        <v>223</v>
      </c>
      <c r="F27" s="38" t="s">
        <v>224</v>
      </c>
      <c r="G27" s="38" t="s">
        <v>225</v>
      </c>
      <c r="H27" s="18" t="s">
        <v>226</v>
      </c>
      <c r="J27" s="18" t="s">
        <v>219</v>
      </c>
      <c r="K27" s="18" t="s">
        <v>220</v>
      </c>
      <c r="L27" s="38" t="s">
        <v>221</v>
      </c>
      <c r="M27" s="38" t="s">
        <v>222</v>
      </c>
      <c r="N27" s="38" t="s">
        <v>223</v>
      </c>
      <c r="O27" s="38" t="s">
        <v>224</v>
      </c>
      <c r="P27" s="38" t="s">
        <v>225</v>
      </c>
      <c r="Q27" s="18" t="s">
        <v>226</v>
      </c>
      <c r="R27" t="s">
        <v>278</v>
      </c>
    </row>
    <row r="28" ht="15.75" customHeight="1">
      <c r="A28" s="39">
        <v>3.0</v>
      </c>
      <c r="B28" t="s">
        <v>232</v>
      </c>
      <c r="C28">
        <v>26.0</v>
      </c>
      <c r="D28">
        <v>2.0</v>
      </c>
      <c r="E28" t="s">
        <v>230</v>
      </c>
      <c r="F28">
        <v>1400.0</v>
      </c>
      <c r="G28" t="s">
        <v>185</v>
      </c>
      <c r="H28" s="39">
        <v>30.0</v>
      </c>
      <c r="L28" t="s">
        <v>258</v>
      </c>
      <c r="R28" t="s">
        <v>279</v>
      </c>
      <c r="Y28" t="s">
        <v>280</v>
      </c>
    </row>
    <row r="29" ht="15.75" customHeight="1">
      <c r="A29" s="39">
        <v>4.0</v>
      </c>
      <c r="B29" t="s">
        <v>236</v>
      </c>
      <c r="C29">
        <v>32.0</v>
      </c>
      <c r="D29">
        <v>8.0</v>
      </c>
      <c r="E29" t="s">
        <v>228</v>
      </c>
      <c r="F29">
        <v>2000.0</v>
      </c>
      <c r="G29" t="s">
        <v>185</v>
      </c>
      <c r="H29" s="39">
        <v>40.0</v>
      </c>
      <c r="P29" t="s">
        <v>185</v>
      </c>
    </row>
    <row r="30" ht="15.75" customHeight="1">
      <c r="A30" s="39">
        <v>7.0</v>
      </c>
      <c r="B30" t="s">
        <v>242</v>
      </c>
      <c r="C30">
        <v>44.0</v>
      </c>
      <c r="D30">
        <v>20.0</v>
      </c>
      <c r="E30" t="s">
        <v>228</v>
      </c>
      <c r="F30">
        <v>1500.0</v>
      </c>
      <c r="G30" t="s">
        <v>186</v>
      </c>
      <c r="H30" s="39">
        <v>70.0</v>
      </c>
      <c r="R30" t="s">
        <v>281</v>
      </c>
      <c r="Y30" t="s">
        <v>282</v>
      </c>
    </row>
    <row r="31" ht="15.75" customHeight="1">
      <c r="A31" s="39">
        <v>9.0</v>
      </c>
      <c r="B31" t="s">
        <v>247</v>
      </c>
      <c r="C31">
        <v>44.0</v>
      </c>
      <c r="D31">
        <v>21.0</v>
      </c>
      <c r="E31" t="s">
        <v>230</v>
      </c>
      <c r="F31">
        <v>6000.0</v>
      </c>
      <c r="G31" t="s">
        <v>111</v>
      </c>
      <c r="H31" s="39">
        <v>90.0</v>
      </c>
    </row>
    <row r="32" ht="15.75" customHeight="1">
      <c r="A32" s="39"/>
      <c r="H32" s="39"/>
    </row>
    <row r="33" ht="15.75" customHeight="1">
      <c r="A33" s="39"/>
      <c r="H33" s="39"/>
    </row>
    <row r="34" ht="15.75" customHeight="1">
      <c r="A34" s="39"/>
      <c r="H34" s="39"/>
    </row>
    <row r="35" ht="15.75" customHeight="1">
      <c r="A35" s="39"/>
      <c r="H35" s="39"/>
      <c r="K35" s="1" t="s">
        <v>283</v>
      </c>
    </row>
    <row r="36" ht="15.75" customHeight="1">
      <c r="A36" s="39"/>
      <c r="H36" s="39"/>
      <c r="J36" s="1" t="s">
        <v>284</v>
      </c>
      <c r="K36" s="1" t="s">
        <v>285</v>
      </c>
    </row>
    <row r="37" ht="15.75" customHeight="1">
      <c r="A37" s="39"/>
      <c r="H37" s="39"/>
      <c r="J37" s="1" t="s">
        <v>286</v>
      </c>
      <c r="K37" s="1" t="s">
        <v>287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conditionalFormatting sqref="J3">
    <cfRule type="expression" dxfId="0" priority="1">
      <formula>D2&lt;5</formula>
    </cfRule>
  </conditionalFormatting>
  <conditionalFormatting sqref="B2:B11">
    <cfRule type="expression" dxfId="1" priority="2">
      <formula>D&lt;5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9.29"/>
    <col customWidth="1" min="3" max="3" width="6.0"/>
    <col customWidth="1" min="4" max="4" width="7.43"/>
    <col customWidth="1" min="5" max="5" width="6.71"/>
    <col customWidth="1" min="6" max="6" width="6.86"/>
    <col customWidth="1" min="7" max="7" width="6.71"/>
    <col customWidth="1" min="8" max="8" width="7.0"/>
    <col customWidth="1" min="9" max="9" width="8.71"/>
    <col customWidth="1" min="10" max="10" width="6.14"/>
    <col customWidth="1" min="11" max="11" width="2.71"/>
    <col customWidth="1" min="12" max="12" width="7.57"/>
    <col customWidth="1" min="13" max="13" width="6.0"/>
    <col customWidth="1" min="14" max="14" width="6.43"/>
    <col customWidth="1" min="15" max="15" width="8.29"/>
    <col customWidth="1" min="16" max="16" width="8.0"/>
    <col customWidth="1" min="17" max="26" width="8.71"/>
  </cols>
  <sheetData>
    <row r="1">
      <c r="A1" s="18" t="s">
        <v>288</v>
      </c>
      <c r="B1" s="18"/>
      <c r="C1" s="18"/>
      <c r="E1" s="18" t="s">
        <v>289</v>
      </c>
    </row>
    <row r="2">
      <c r="A2" s="18" t="s">
        <v>290</v>
      </c>
      <c r="B2" s="18" t="s">
        <v>291</v>
      </c>
      <c r="C2" s="18" t="s">
        <v>292</v>
      </c>
      <c r="D2" s="18" t="s">
        <v>293</v>
      </c>
      <c r="E2" s="43" t="s">
        <v>294</v>
      </c>
      <c r="F2" s="43" t="s">
        <v>295</v>
      </c>
      <c r="G2" s="43" t="s">
        <v>296</v>
      </c>
      <c r="H2" s="43" t="s">
        <v>297</v>
      </c>
      <c r="I2" s="43" t="s">
        <v>298</v>
      </c>
      <c r="J2" s="18" t="s">
        <v>299</v>
      </c>
    </row>
    <row r="3">
      <c r="A3" t="s">
        <v>300</v>
      </c>
      <c r="B3" t="str">
        <f t="shared" ref="B3:B89" si="1">RIGHT(A3,5)</f>
        <v>20297</v>
      </c>
      <c r="C3" t="str">
        <f t="shared" ref="C3:C89" si="2">LEFT(A3,4)</f>
        <v>2012</v>
      </c>
      <c r="D3" s="44" t="str">
        <f>VLOOKUP(IF(LEN(A3)=11,MID(A3,5,2),MID(A3,5,1)),$G$91:$H$94,2,0)</f>
        <v>Sc-Pure</v>
      </c>
      <c r="E3">
        <v>63.0</v>
      </c>
      <c r="F3">
        <v>73.0</v>
      </c>
      <c r="G3">
        <v>98.0</v>
      </c>
      <c r="H3">
        <v>73.0</v>
      </c>
      <c r="I3">
        <v>82.0</v>
      </c>
      <c r="J3" t="str">
        <f>IF(AND(E3&gt;=40,COUNTIF(F3:I3,"&gt;=40")&gt;=3),"Pass","Fail")</f>
        <v>Pass</v>
      </c>
      <c r="L3" t="str">
        <f t="shared" ref="L3:L89" si="3">IF(COUNTIF(E3:I3, "&gt;=40")=5, "Pass", "Fail")</f>
        <v>Pass</v>
      </c>
      <c r="N3" s="24" t="s">
        <v>301</v>
      </c>
      <c r="O3" s="24"/>
      <c r="P3" s="24"/>
      <c r="Q3" s="24"/>
      <c r="R3" s="24"/>
    </row>
    <row r="4">
      <c r="A4" t="s">
        <v>302</v>
      </c>
      <c r="B4" t="str">
        <f t="shared" si="1"/>
        <v>21840</v>
      </c>
      <c r="C4" t="str">
        <f t="shared" si="2"/>
        <v>2011</v>
      </c>
      <c r="D4" s="44" t="str">
        <f t="shared" ref="D4:D89" si="4">VLOOKUP(IF(LEN(A4)=10, MID(A4, 5, 1), MID(A4, 5, 2)), $G$91:$H$94, 2, FALSE)</f>
        <v>Arts</v>
      </c>
      <c r="E4">
        <v>37.0</v>
      </c>
      <c r="F4">
        <v>87.0</v>
      </c>
      <c r="G4">
        <v>97.0</v>
      </c>
      <c r="H4">
        <v>84.0</v>
      </c>
      <c r="I4">
        <v>82.0</v>
      </c>
      <c r="J4" t="str">
        <f t="shared" ref="J4:J89" si="5">IF(AND(E4&gt;=40, COUNTIF(F4:I4, "&gt;=40")&gt;=3), "Pass", "Fail")</f>
        <v>Fail</v>
      </c>
      <c r="L4" t="str">
        <f t="shared" si="3"/>
        <v>Fail</v>
      </c>
    </row>
    <row r="5">
      <c r="A5" t="s">
        <v>303</v>
      </c>
      <c r="B5" t="str">
        <f t="shared" si="1"/>
        <v>21843</v>
      </c>
      <c r="C5" t="str">
        <f t="shared" si="2"/>
        <v>2012</v>
      </c>
      <c r="D5" s="44" t="str">
        <f t="shared" si="4"/>
        <v>Sc-Pure</v>
      </c>
      <c r="E5">
        <v>41.0</v>
      </c>
      <c r="F5">
        <v>98.0</v>
      </c>
      <c r="G5">
        <v>84.0</v>
      </c>
      <c r="H5">
        <v>56.0</v>
      </c>
      <c r="I5">
        <v>95.0</v>
      </c>
      <c r="J5" t="str">
        <f t="shared" si="5"/>
        <v>Pass</v>
      </c>
      <c r="L5" t="str">
        <f t="shared" si="3"/>
        <v>Pass</v>
      </c>
    </row>
    <row r="6">
      <c r="A6" t="s">
        <v>304</v>
      </c>
      <c r="B6" t="str">
        <f t="shared" si="1"/>
        <v>21846</v>
      </c>
      <c r="C6" t="str">
        <f t="shared" si="2"/>
        <v>2010</v>
      </c>
      <c r="D6" s="44" t="str">
        <f t="shared" si="4"/>
        <v>Sc-Bio</v>
      </c>
      <c r="E6">
        <v>98.0</v>
      </c>
      <c r="F6">
        <v>89.0</v>
      </c>
      <c r="G6">
        <v>85.0</v>
      </c>
      <c r="H6">
        <v>94.0</v>
      </c>
      <c r="I6">
        <v>87.0</v>
      </c>
      <c r="J6" t="str">
        <f t="shared" si="5"/>
        <v>Pass</v>
      </c>
      <c r="L6" t="str">
        <f t="shared" si="3"/>
        <v>Pass</v>
      </c>
    </row>
    <row r="7">
      <c r="A7" t="s">
        <v>305</v>
      </c>
      <c r="B7" t="str">
        <f t="shared" si="1"/>
        <v>22860</v>
      </c>
      <c r="C7" t="str">
        <f t="shared" si="2"/>
        <v>2012</v>
      </c>
      <c r="D7" s="44" t="str">
        <f t="shared" si="4"/>
        <v>Sc-Bio</v>
      </c>
      <c r="E7">
        <v>50.0</v>
      </c>
      <c r="F7">
        <v>73.0</v>
      </c>
      <c r="G7">
        <v>72.0</v>
      </c>
      <c r="H7">
        <v>85.0</v>
      </c>
      <c r="I7">
        <v>91.0</v>
      </c>
      <c r="J7" t="str">
        <f t="shared" si="5"/>
        <v>Pass</v>
      </c>
      <c r="L7" t="str">
        <f t="shared" si="3"/>
        <v>Pass</v>
      </c>
    </row>
    <row r="8">
      <c r="A8" t="s">
        <v>306</v>
      </c>
      <c r="B8" t="str">
        <f t="shared" si="1"/>
        <v>40738</v>
      </c>
      <c r="C8" t="str">
        <f t="shared" si="2"/>
        <v>2011</v>
      </c>
      <c r="D8" s="44" t="str">
        <f t="shared" si="4"/>
        <v>Com</v>
      </c>
      <c r="E8">
        <v>47.0</v>
      </c>
      <c r="F8">
        <v>91.0</v>
      </c>
      <c r="G8">
        <v>90.0</v>
      </c>
      <c r="H8">
        <v>79.0</v>
      </c>
      <c r="I8">
        <v>98.0</v>
      </c>
      <c r="J8" t="str">
        <f t="shared" si="5"/>
        <v>Pass</v>
      </c>
      <c r="L8" t="str">
        <f t="shared" si="3"/>
        <v>Pass</v>
      </c>
    </row>
    <row r="9">
      <c r="A9" t="s">
        <v>307</v>
      </c>
      <c r="B9" t="str">
        <f t="shared" si="1"/>
        <v>40744</v>
      </c>
      <c r="C9" t="str">
        <f t="shared" si="2"/>
        <v>2011</v>
      </c>
      <c r="D9" s="44" t="str">
        <f t="shared" si="4"/>
        <v>Sc-Bio</v>
      </c>
      <c r="E9">
        <v>62.0</v>
      </c>
      <c r="F9">
        <v>70.0</v>
      </c>
      <c r="G9">
        <v>99.0</v>
      </c>
      <c r="H9">
        <v>71.0</v>
      </c>
      <c r="I9">
        <v>95.0</v>
      </c>
      <c r="J9" t="str">
        <f t="shared" si="5"/>
        <v>Pass</v>
      </c>
      <c r="L9" t="str">
        <f t="shared" si="3"/>
        <v>Pass</v>
      </c>
    </row>
    <row r="10">
      <c r="A10" t="s">
        <v>308</v>
      </c>
      <c r="B10" t="str">
        <f t="shared" si="1"/>
        <v>40750</v>
      </c>
      <c r="C10" t="str">
        <f t="shared" si="2"/>
        <v>2010</v>
      </c>
      <c r="D10" s="44" t="str">
        <f t="shared" si="4"/>
        <v>Sc-Pure</v>
      </c>
      <c r="E10">
        <v>65.0</v>
      </c>
      <c r="F10">
        <v>66.0</v>
      </c>
      <c r="G10">
        <v>96.0</v>
      </c>
      <c r="H10">
        <v>94.0</v>
      </c>
      <c r="I10">
        <v>79.0</v>
      </c>
      <c r="J10" t="str">
        <f t="shared" si="5"/>
        <v>Pass</v>
      </c>
      <c r="L10" t="str">
        <f t="shared" si="3"/>
        <v>Pass</v>
      </c>
    </row>
    <row r="11">
      <c r="A11" t="s">
        <v>309</v>
      </c>
      <c r="B11" t="str">
        <f t="shared" si="1"/>
        <v>40835</v>
      </c>
      <c r="C11" t="str">
        <f t="shared" si="2"/>
        <v>2010</v>
      </c>
      <c r="D11" s="44" t="str">
        <f t="shared" si="4"/>
        <v>Arts</v>
      </c>
      <c r="E11">
        <v>78.0</v>
      </c>
      <c r="F11">
        <v>75.0</v>
      </c>
      <c r="G11">
        <v>75.0</v>
      </c>
      <c r="H11">
        <v>85.0</v>
      </c>
      <c r="I11">
        <v>71.0</v>
      </c>
      <c r="J11" t="str">
        <f t="shared" si="5"/>
        <v>Pass</v>
      </c>
      <c r="L11" t="str">
        <f t="shared" si="3"/>
        <v>Pass</v>
      </c>
    </row>
    <row r="12">
      <c r="A12" t="s">
        <v>310</v>
      </c>
      <c r="B12" t="str">
        <f t="shared" si="1"/>
        <v>45515</v>
      </c>
      <c r="C12" t="str">
        <f t="shared" si="2"/>
        <v>2011</v>
      </c>
      <c r="D12" s="44" t="str">
        <f t="shared" si="4"/>
        <v>Arts</v>
      </c>
      <c r="E12">
        <v>72.0</v>
      </c>
      <c r="F12">
        <v>95.0</v>
      </c>
      <c r="G12">
        <v>58.0</v>
      </c>
      <c r="H12">
        <v>46.0</v>
      </c>
      <c r="I12">
        <v>99.0</v>
      </c>
      <c r="J12" t="str">
        <f t="shared" si="5"/>
        <v>Pass</v>
      </c>
      <c r="L12" t="str">
        <f t="shared" si="3"/>
        <v>Pass</v>
      </c>
    </row>
    <row r="13">
      <c r="A13" t="s">
        <v>311</v>
      </c>
      <c r="B13" t="str">
        <f t="shared" si="1"/>
        <v>54572</v>
      </c>
      <c r="C13" t="str">
        <f t="shared" si="2"/>
        <v>2010</v>
      </c>
      <c r="D13" s="44" t="str">
        <f t="shared" si="4"/>
        <v>Sc-Bio</v>
      </c>
      <c r="E13">
        <v>62.0</v>
      </c>
      <c r="F13">
        <v>64.0</v>
      </c>
      <c r="G13">
        <v>87.0</v>
      </c>
      <c r="H13">
        <v>79.0</v>
      </c>
      <c r="I13">
        <v>80.0</v>
      </c>
      <c r="J13" t="str">
        <f t="shared" si="5"/>
        <v>Pass</v>
      </c>
      <c r="L13" t="str">
        <f t="shared" si="3"/>
        <v>Pass</v>
      </c>
    </row>
    <row r="14">
      <c r="A14" t="s">
        <v>312</v>
      </c>
      <c r="B14" t="str">
        <f t="shared" si="1"/>
        <v>63812</v>
      </c>
      <c r="C14" t="str">
        <f t="shared" si="2"/>
        <v>2012</v>
      </c>
      <c r="D14" s="44" t="str">
        <f t="shared" si="4"/>
        <v>Sc-Pure</v>
      </c>
      <c r="E14">
        <v>89.0</v>
      </c>
      <c r="F14">
        <v>82.0</v>
      </c>
      <c r="G14">
        <v>47.0</v>
      </c>
      <c r="H14">
        <v>86.0</v>
      </c>
      <c r="I14">
        <v>72.0</v>
      </c>
      <c r="J14" t="str">
        <f t="shared" si="5"/>
        <v>Pass</v>
      </c>
      <c r="L14" t="str">
        <f t="shared" si="3"/>
        <v>Pass</v>
      </c>
    </row>
    <row r="15">
      <c r="A15" t="s">
        <v>313</v>
      </c>
      <c r="B15" t="str">
        <f t="shared" si="1"/>
        <v>68016</v>
      </c>
      <c r="C15" t="str">
        <f t="shared" si="2"/>
        <v>2011</v>
      </c>
      <c r="D15" s="44" t="str">
        <f t="shared" si="4"/>
        <v>Sc-Bio</v>
      </c>
      <c r="E15">
        <v>77.0</v>
      </c>
      <c r="F15">
        <v>81.0</v>
      </c>
      <c r="G15">
        <v>89.0</v>
      </c>
      <c r="H15">
        <v>77.0</v>
      </c>
      <c r="I15">
        <v>58.0</v>
      </c>
      <c r="J15" t="str">
        <f t="shared" si="5"/>
        <v>Pass</v>
      </c>
      <c r="L15" t="str">
        <f t="shared" si="3"/>
        <v>Pass</v>
      </c>
    </row>
    <row r="16">
      <c r="A16" t="s">
        <v>314</v>
      </c>
      <c r="B16" t="str">
        <f t="shared" si="1"/>
        <v>68059</v>
      </c>
      <c r="C16" t="str">
        <f t="shared" si="2"/>
        <v>2012</v>
      </c>
      <c r="D16" s="44" t="str">
        <f t="shared" si="4"/>
        <v>Sc-Pure</v>
      </c>
      <c r="E16">
        <v>76.0</v>
      </c>
      <c r="F16">
        <v>58.0</v>
      </c>
      <c r="G16">
        <v>63.0</v>
      </c>
      <c r="H16">
        <v>98.0</v>
      </c>
      <c r="I16">
        <v>86.0</v>
      </c>
      <c r="J16" t="str">
        <f t="shared" si="5"/>
        <v>Pass</v>
      </c>
      <c r="L16" t="str">
        <f t="shared" si="3"/>
        <v>Pass</v>
      </c>
    </row>
    <row r="17">
      <c r="A17" t="s">
        <v>315</v>
      </c>
      <c r="B17" t="str">
        <f t="shared" si="1"/>
        <v>68068</v>
      </c>
      <c r="C17" t="str">
        <f t="shared" si="2"/>
        <v>2010</v>
      </c>
      <c r="D17" s="44" t="str">
        <f t="shared" si="4"/>
        <v>Sc-Bio</v>
      </c>
      <c r="E17">
        <v>30.0</v>
      </c>
      <c r="F17">
        <v>90.0</v>
      </c>
      <c r="G17">
        <v>53.0</v>
      </c>
      <c r="H17">
        <v>87.0</v>
      </c>
      <c r="I17">
        <v>70.0</v>
      </c>
      <c r="J17" t="str">
        <f t="shared" si="5"/>
        <v>Fail</v>
      </c>
      <c r="L17" t="str">
        <f t="shared" si="3"/>
        <v>Fail</v>
      </c>
    </row>
    <row r="18">
      <c r="A18" t="s">
        <v>316</v>
      </c>
      <c r="B18" t="str">
        <f t="shared" si="1"/>
        <v>68071</v>
      </c>
      <c r="C18" t="str">
        <f t="shared" si="2"/>
        <v>2011</v>
      </c>
      <c r="D18" s="44" t="str">
        <f t="shared" si="4"/>
        <v>Arts</v>
      </c>
      <c r="E18">
        <v>98.0</v>
      </c>
      <c r="F18">
        <v>82.0</v>
      </c>
      <c r="G18">
        <v>98.0</v>
      </c>
      <c r="H18">
        <v>65.0</v>
      </c>
      <c r="I18">
        <v>67.0</v>
      </c>
      <c r="J18" t="str">
        <f t="shared" si="5"/>
        <v>Pass</v>
      </c>
      <c r="L18" t="str">
        <f t="shared" si="3"/>
        <v>Pass</v>
      </c>
    </row>
    <row r="19">
      <c r="A19" t="s">
        <v>317</v>
      </c>
      <c r="B19" t="str">
        <f t="shared" si="1"/>
        <v>72694</v>
      </c>
      <c r="C19" t="str">
        <f t="shared" si="2"/>
        <v>2012</v>
      </c>
      <c r="D19" s="44" t="str">
        <f t="shared" si="4"/>
        <v>Com</v>
      </c>
      <c r="E19">
        <v>85.0</v>
      </c>
      <c r="F19">
        <v>98.0</v>
      </c>
      <c r="G19">
        <v>62.0</v>
      </c>
      <c r="H19">
        <v>81.0</v>
      </c>
      <c r="I19">
        <v>79.0</v>
      </c>
      <c r="J19" t="str">
        <f t="shared" si="5"/>
        <v>Pass</v>
      </c>
      <c r="L19" t="str">
        <f t="shared" si="3"/>
        <v>Pass</v>
      </c>
    </row>
    <row r="20">
      <c r="A20" t="s">
        <v>318</v>
      </c>
      <c r="B20" t="str">
        <f t="shared" si="1"/>
        <v>73023</v>
      </c>
      <c r="C20" t="str">
        <f t="shared" si="2"/>
        <v>2012</v>
      </c>
      <c r="D20" s="44" t="str">
        <f t="shared" si="4"/>
        <v>Sc-Pure</v>
      </c>
      <c r="E20">
        <v>46.0</v>
      </c>
      <c r="F20">
        <v>55.0</v>
      </c>
      <c r="G20">
        <v>48.0</v>
      </c>
      <c r="H20">
        <v>59.0</v>
      </c>
      <c r="I20">
        <v>35.0</v>
      </c>
      <c r="J20" t="str">
        <f t="shared" si="5"/>
        <v>Pass</v>
      </c>
      <c r="L20" t="str">
        <f t="shared" si="3"/>
        <v>Fail</v>
      </c>
    </row>
    <row r="21" ht="15.75" customHeight="1">
      <c r="A21" t="s">
        <v>319</v>
      </c>
      <c r="B21" t="str">
        <f t="shared" si="1"/>
        <v>79822</v>
      </c>
      <c r="C21" t="str">
        <f t="shared" si="2"/>
        <v>2010</v>
      </c>
      <c r="D21" s="44" t="str">
        <f t="shared" si="4"/>
        <v>Com</v>
      </c>
      <c r="E21">
        <v>68.0</v>
      </c>
      <c r="F21">
        <v>81.0</v>
      </c>
      <c r="G21">
        <v>81.0</v>
      </c>
      <c r="H21">
        <v>68.0</v>
      </c>
      <c r="I21">
        <v>88.0</v>
      </c>
      <c r="J21" t="str">
        <f t="shared" si="5"/>
        <v>Pass</v>
      </c>
      <c r="L21" t="str">
        <f t="shared" si="3"/>
        <v>Pass</v>
      </c>
    </row>
    <row r="22" ht="15.75" customHeight="1">
      <c r="A22" t="s">
        <v>320</v>
      </c>
      <c r="B22" t="str">
        <f t="shared" si="1"/>
        <v>85498</v>
      </c>
      <c r="C22" t="str">
        <f t="shared" si="2"/>
        <v>2010</v>
      </c>
      <c r="D22" s="44" t="str">
        <f t="shared" si="4"/>
        <v>Sc-Pure</v>
      </c>
      <c r="E22">
        <v>59.0</v>
      </c>
      <c r="F22">
        <v>80.0</v>
      </c>
      <c r="G22">
        <v>39.0</v>
      </c>
      <c r="H22">
        <v>51.0</v>
      </c>
      <c r="I22">
        <v>35.0</v>
      </c>
      <c r="J22" t="str">
        <f t="shared" si="5"/>
        <v>Fail</v>
      </c>
      <c r="L22" t="str">
        <f t="shared" si="3"/>
        <v>Fail</v>
      </c>
    </row>
    <row r="23" ht="15.75" customHeight="1">
      <c r="A23" t="s">
        <v>321</v>
      </c>
      <c r="B23" t="str">
        <f t="shared" si="1"/>
        <v>86025</v>
      </c>
      <c r="C23" t="str">
        <f t="shared" si="2"/>
        <v>2011</v>
      </c>
      <c r="D23" s="44" t="str">
        <f t="shared" si="4"/>
        <v>Arts</v>
      </c>
      <c r="E23">
        <v>91.0</v>
      </c>
      <c r="F23">
        <v>74.0</v>
      </c>
      <c r="G23">
        <v>69.0</v>
      </c>
      <c r="H23">
        <v>70.0</v>
      </c>
      <c r="I23">
        <v>94.0</v>
      </c>
      <c r="J23" t="str">
        <f t="shared" si="5"/>
        <v>Pass</v>
      </c>
      <c r="L23" t="str">
        <f t="shared" si="3"/>
        <v>Pass</v>
      </c>
    </row>
    <row r="24" ht="15.75" customHeight="1">
      <c r="A24" t="s">
        <v>322</v>
      </c>
      <c r="B24" t="str">
        <f t="shared" si="1"/>
        <v>66518</v>
      </c>
      <c r="C24" t="str">
        <f t="shared" si="2"/>
        <v>2011</v>
      </c>
      <c r="D24" s="44" t="str">
        <f t="shared" si="4"/>
        <v>Com</v>
      </c>
      <c r="E24">
        <v>96.0</v>
      </c>
      <c r="F24">
        <v>37.0</v>
      </c>
      <c r="G24">
        <v>85.0</v>
      </c>
      <c r="H24">
        <v>79.0</v>
      </c>
      <c r="I24">
        <v>69.0</v>
      </c>
      <c r="J24" t="str">
        <f t="shared" si="5"/>
        <v>Pass</v>
      </c>
      <c r="L24" t="str">
        <f t="shared" si="3"/>
        <v>Fail</v>
      </c>
    </row>
    <row r="25" ht="15.75" customHeight="1">
      <c r="A25" t="s">
        <v>323</v>
      </c>
      <c r="B25" t="str">
        <f t="shared" si="1"/>
        <v>40735</v>
      </c>
      <c r="C25" t="str">
        <f t="shared" si="2"/>
        <v>2012</v>
      </c>
      <c r="D25" s="44" t="str">
        <f t="shared" si="4"/>
        <v>Arts</v>
      </c>
      <c r="E25">
        <v>85.0</v>
      </c>
      <c r="F25">
        <v>48.0</v>
      </c>
      <c r="G25">
        <v>86.0</v>
      </c>
      <c r="H25">
        <v>60.0</v>
      </c>
      <c r="I25">
        <v>87.0</v>
      </c>
      <c r="J25" t="str">
        <f t="shared" si="5"/>
        <v>Pass</v>
      </c>
      <c r="L25" t="str">
        <f t="shared" si="3"/>
        <v>Pass</v>
      </c>
    </row>
    <row r="26" ht="15.75" customHeight="1">
      <c r="A26" t="s">
        <v>324</v>
      </c>
      <c r="B26" t="str">
        <f t="shared" si="1"/>
        <v>40729</v>
      </c>
      <c r="C26" t="str">
        <f t="shared" si="2"/>
        <v>2011</v>
      </c>
      <c r="D26" s="44" t="str">
        <f t="shared" si="4"/>
        <v>Sc-Bio</v>
      </c>
      <c r="E26">
        <v>87.0</v>
      </c>
      <c r="F26">
        <v>87.0</v>
      </c>
      <c r="G26">
        <v>75.0</v>
      </c>
      <c r="H26">
        <v>55.0</v>
      </c>
      <c r="I26">
        <v>60.0</v>
      </c>
      <c r="J26" t="str">
        <f t="shared" si="5"/>
        <v>Pass</v>
      </c>
      <c r="L26" t="str">
        <f t="shared" si="3"/>
        <v>Pass</v>
      </c>
    </row>
    <row r="27" ht="15.75" customHeight="1">
      <c r="A27" t="s">
        <v>325</v>
      </c>
      <c r="B27" t="str">
        <f t="shared" si="1"/>
        <v>98782</v>
      </c>
      <c r="C27" t="str">
        <f t="shared" si="2"/>
        <v>2011</v>
      </c>
      <c r="D27" s="44" t="str">
        <f t="shared" si="4"/>
        <v>Sc-Pure</v>
      </c>
      <c r="E27">
        <v>52.0</v>
      </c>
      <c r="F27">
        <v>91.0</v>
      </c>
      <c r="G27">
        <v>78.0</v>
      </c>
      <c r="H27">
        <v>91.0</v>
      </c>
      <c r="I27">
        <v>51.0</v>
      </c>
      <c r="J27" t="str">
        <f t="shared" si="5"/>
        <v>Pass</v>
      </c>
      <c r="L27" t="str">
        <f t="shared" si="3"/>
        <v>Pass</v>
      </c>
    </row>
    <row r="28" ht="15.75" hidden="1" customHeight="1">
      <c r="A28" t="s">
        <v>326</v>
      </c>
      <c r="B28" t="str">
        <f t="shared" si="1"/>
        <v>80230</v>
      </c>
      <c r="C28" t="str">
        <f t="shared" si="2"/>
        <v>2011</v>
      </c>
      <c r="D28" s="44" t="str">
        <f t="shared" si="4"/>
        <v>Arts</v>
      </c>
      <c r="E28">
        <v>73.0</v>
      </c>
      <c r="F28">
        <v>61.0</v>
      </c>
      <c r="G28">
        <v>53.0</v>
      </c>
      <c r="H28">
        <v>96.0</v>
      </c>
      <c r="I28">
        <v>78.0</v>
      </c>
      <c r="J28" t="str">
        <f t="shared" si="5"/>
        <v>Pass</v>
      </c>
      <c r="L28" t="str">
        <f t="shared" si="3"/>
        <v>Pass</v>
      </c>
    </row>
    <row r="29" ht="15.75" hidden="1" customHeight="1">
      <c r="A29" t="s">
        <v>327</v>
      </c>
      <c r="B29" t="str">
        <f t="shared" si="1"/>
        <v>91062</v>
      </c>
      <c r="C29" t="str">
        <f t="shared" si="2"/>
        <v>2012</v>
      </c>
      <c r="D29" s="44" t="str">
        <f t="shared" si="4"/>
        <v>Arts</v>
      </c>
      <c r="E29">
        <v>93.0</v>
      </c>
      <c r="F29">
        <v>52.0</v>
      </c>
      <c r="G29">
        <v>65.0</v>
      </c>
      <c r="H29">
        <v>77.0</v>
      </c>
      <c r="I29">
        <v>73.0</v>
      </c>
      <c r="J29" t="str">
        <f t="shared" si="5"/>
        <v>Pass</v>
      </c>
      <c r="L29" t="str">
        <f t="shared" si="3"/>
        <v>Pass</v>
      </c>
    </row>
    <row r="30" ht="15.75" hidden="1" customHeight="1">
      <c r="A30" t="s">
        <v>328</v>
      </c>
      <c r="B30" t="str">
        <f t="shared" si="1"/>
        <v>68041</v>
      </c>
      <c r="C30" t="str">
        <f t="shared" si="2"/>
        <v>2010</v>
      </c>
      <c r="D30" s="44" t="str">
        <f t="shared" si="4"/>
        <v>Arts</v>
      </c>
      <c r="E30">
        <v>94.0</v>
      </c>
      <c r="F30">
        <v>39.0</v>
      </c>
      <c r="G30">
        <v>81.0</v>
      </c>
      <c r="H30">
        <v>77.0</v>
      </c>
      <c r="I30">
        <v>68.0</v>
      </c>
      <c r="J30" t="str">
        <f t="shared" si="5"/>
        <v>Pass</v>
      </c>
      <c r="L30" t="str">
        <f t="shared" si="3"/>
        <v>Fail</v>
      </c>
    </row>
    <row r="31" ht="15.75" hidden="1" customHeight="1">
      <c r="A31" t="s">
        <v>329</v>
      </c>
      <c r="B31" t="str">
        <f t="shared" si="1"/>
        <v>88155</v>
      </c>
      <c r="C31" t="str">
        <f t="shared" si="2"/>
        <v>2011</v>
      </c>
      <c r="D31" s="44" t="str">
        <f t="shared" si="4"/>
        <v>Sc-Bio</v>
      </c>
      <c r="E31">
        <v>55.0</v>
      </c>
      <c r="F31">
        <v>69.0</v>
      </c>
      <c r="G31">
        <v>84.0</v>
      </c>
      <c r="H31">
        <v>83.0</v>
      </c>
      <c r="I31">
        <v>65.0</v>
      </c>
      <c r="J31" t="str">
        <f t="shared" si="5"/>
        <v>Pass</v>
      </c>
      <c r="L31" t="str">
        <f t="shared" si="3"/>
        <v>Pass</v>
      </c>
    </row>
    <row r="32" ht="15.75" hidden="1" customHeight="1">
      <c r="A32" t="s">
        <v>330</v>
      </c>
      <c r="B32" t="str">
        <f t="shared" si="1"/>
        <v>54259</v>
      </c>
      <c r="C32" t="str">
        <f t="shared" si="2"/>
        <v>2011</v>
      </c>
      <c r="D32" s="44" t="str">
        <f t="shared" si="4"/>
        <v>Arts</v>
      </c>
      <c r="E32">
        <v>90.0</v>
      </c>
      <c r="F32">
        <v>42.0</v>
      </c>
      <c r="G32">
        <v>75.0</v>
      </c>
      <c r="H32">
        <v>78.0</v>
      </c>
      <c r="I32">
        <v>70.0</v>
      </c>
      <c r="J32" t="str">
        <f t="shared" si="5"/>
        <v>Pass</v>
      </c>
      <c r="L32" t="str">
        <f t="shared" si="3"/>
        <v>Pass</v>
      </c>
    </row>
    <row r="33" ht="15.75" hidden="1" customHeight="1">
      <c r="A33" t="s">
        <v>331</v>
      </c>
      <c r="B33" t="str">
        <f t="shared" si="1"/>
        <v>28820</v>
      </c>
      <c r="C33" t="str">
        <f t="shared" si="2"/>
        <v>2012</v>
      </c>
      <c r="D33" s="44" t="str">
        <f t="shared" si="4"/>
        <v>Sc-Bio</v>
      </c>
      <c r="E33">
        <v>73.0</v>
      </c>
      <c r="F33">
        <v>42.0</v>
      </c>
      <c r="G33">
        <v>92.0</v>
      </c>
      <c r="H33">
        <v>62.0</v>
      </c>
      <c r="I33">
        <v>86.0</v>
      </c>
      <c r="J33" t="str">
        <f t="shared" si="5"/>
        <v>Pass</v>
      </c>
      <c r="L33" t="str">
        <f t="shared" si="3"/>
        <v>Pass</v>
      </c>
    </row>
    <row r="34" ht="15.75" hidden="1" customHeight="1">
      <c r="A34" t="s">
        <v>332</v>
      </c>
      <c r="B34" t="str">
        <f t="shared" si="1"/>
        <v>83932</v>
      </c>
      <c r="C34" t="str">
        <f t="shared" si="2"/>
        <v>2011</v>
      </c>
      <c r="D34" s="44" t="str">
        <f t="shared" si="4"/>
        <v>Arts</v>
      </c>
      <c r="E34">
        <v>60.0</v>
      </c>
      <c r="F34">
        <v>71.0</v>
      </c>
      <c r="G34">
        <v>84.0</v>
      </c>
      <c r="H34">
        <v>43.0</v>
      </c>
      <c r="I34">
        <v>96.0</v>
      </c>
      <c r="J34" t="str">
        <f t="shared" si="5"/>
        <v>Pass</v>
      </c>
      <c r="L34" t="str">
        <f t="shared" si="3"/>
        <v>Pass</v>
      </c>
    </row>
    <row r="35" ht="15.75" hidden="1" customHeight="1">
      <c r="A35" t="s">
        <v>333</v>
      </c>
      <c r="B35" t="str">
        <f t="shared" si="1"/>
        <v>77942</v>
      </c>
      <c r="C35" t="str">
        <f t="shared" si="2"/>
        <v>2012</v>
      </c>
      <c r="D35" s="44" t="str">
        <f t="shared" si="4"/>
        <v>Sc-Pure</v>
      </c>
      <c r="E35">
        <v>67.0</v>
      </c>
      <c r="F35">
        <v>70.0</v>
      </c>
      <c r="G35">
        <v>68.0</v>
      </c>
      <c r="H35">
        <v>71.0</v>
      </c>
      <c r="I35">
        <v>76.0</v>
      </c>
      <c r="J35" t="str">
        <f t="shared" si="5"/>
        <v>Pass</v>
      </c>
      <c r="L35" t="str">
        <f t="shared" si="3"/>
        <v>Pass</v>
      </c>
    </row>
    <row r="36" ht="15.75" hidden="1" customHeight="1">
      <c r="A36" t="s">
        <v>334</v>
      </c>
      <c r="B36" t="str">
        <f t="shared" si="1"/>
        <v>27247</v>
      </c>
      <c r="C36" t="str">
        <f t="shared" si="2"/>
        <v>2011</v>
      </c>
      <c r="D36" s="44" t="str">
        <f t="shared" si="4"/>
        <v>Arts</v>
      </c>
      <c r="E36">
        <v>50.0</v>
      </c>
      <c r="F36">
        <v>54.0</v>
      </c>
      <c r="G36">
        <v>90.0</v>
      </c>
      <c r="H36">
        <v>82.0</v>
      </c>
      <c r="I36">
        <v>76.0</v>
      </c>
      <c r="J36" t="str">
        <f t="shared" si="5"/>
        <v>Pass</v>
      </c>
      <c r="L36" t="str">
        <f t="shared" si="3"/>
        <v>Pass</v>
      </c>
    </row>
    <row r="37" ht="15.75" hidden="1" customHeight="1">
      <c r="A37" t="s">
        <v>335</v>
      </c>
      <c r="B37" t="str">
        <f t="shared" si="1"/>
        <v>21837</v>
      </c>
      <c r="C37" t="str">
        <f t="shared" si="2"/>
        <v>2011</v>
      </c>
      <c r="D37" s="44" t="str">
        <f t="shared" si="4"/>
        <v>Sc-Pure</v>
      </c>
      <c r="E37">
        <v>51.0</v>
      </c>
      <c r="F37">
        <v>80.0</v>
      </c>
      <c r="G37">
        <v>56.0</v>
      </c>
      <c r="H37">
        <v>70.0</v>
      </c>
      <c r="I37">
        <v>93.0</v>
      </c>
      <c r="J37" t="str">
        <f t="shared" si="5"/>
        <v>Pass</v>
      </c>
      <c r="L37" t="str">
        <f t="shared" si="3"/>
        <v>Pass</v>
      </c>
    </row>
    <row r="38" ht="15.75" hidden="1" customHeight="1">
      <c r="A38" t="s">
        <v>336</v>
      </c>
      <c r="B38" t="str">
        <f t="shared" si="1"/>
        <v>35208</v>
      </c>
      <c r="C38" t="str">
        <f t="shared" si="2"/>
        <v>2011</v>
      </c>
      <c r="D38" s="44" t="str">
        <f t="shared" si="4"/>
        <v>Arts</v>
      </c>
      <c r="E38">
        <v>82.0</v>
      </c>
      <c r="F38">
        <v>44.0</v>
      </c>
      <c r="G38">
        <v>84.0</v>
      </c>
      <c r="H38">
        <v>61.0</v>
      </c>
      <c r="I38">
        <v>77.0</v>
      </c>
      <c r="J38" t="str">
        <f t="shared" si="5"/>
        <v>Pass</v>
      </c>
      <c r="L38" t="str">
        <f t="shared" si="3"/>
        <v>Pass</v>
      </c>
    </row>
    <row r="39" ht="15.75" hidden="1" customHeight="1">
      <c r="A39" t="s">
        <v>337</v>
      </c>
      <c r="B39" t="str">
        <f t="shared" si="1"/>
        <v>31637</v>
      </c>
      <c r="C39" t="str">
        <f t="shared" si="2"/>
        <v>2011</v>
      </c>
      <c r="D39" s="44" t="str">
        <f t="shared" si="4"/>
        <v>Sc-Pure</v>
      </c>
      <c r="E39">
        <v>96.0</v>
      </c>
      <c r="F39">
        <v>41.0</v>
      </c>
      <c r="G39">
        <v>89.0</v>
      </c>
      <c r="H39">
        <v>40.0</v>
      </c>
      <c r="I39">
        <v>80.0</v>
      </c>
      <c r="J39" t="str">
        <f t="shared" si="5"/>
        <v>Pass</v>
      </c>
      <c r="L39" t="str">
        <f t="shared" si="3"/>
        <v>Pass</v>
      </c>
    </row>
    <row r="40" ht="15.75" hidden="1" customHeight="1">
      <c r="A40" t="s">
        <v>338</v>
      </c>
      <c r="B40" t="str">
        <f t="shared" si="1"/>
        <v>21831</v>
      </c>
      <c r="C40" t="str">
        <f t="shared" si="2"/>
        <v>2011</v>
      </c>
      <c r="D40" s="44" t="str">
        <f t="shared" si="4"/>
        <v>Arts</v>
      </c>
      <c r="E40">
        <v>79.0</v>
      </c>
      <c r="F40">
        <v>41.0</v>
      </c>
      <c r="G40">
        <v>54.0</v>
      </c>
      <c r="H40">
        <v>78.0</v>
      </c>
      <c r="I40">
        <v>93.0</v>
      </c>
      <c r="J40" t="str">
        <f t="shared" si="5"/>
        <v>Pass</v>
      </c>
      <c r="L40" t="str">
        <f t="shared" si="3"/>
        <v>Pass</v>
      </c>
    </row>
    <row r="41" ht="15.75" hidden="1" customHeight="1">
      <c r="A41" t="s">
        <v>339</v>
      </c>
      <c r="B41" t="str">
        <f t="shared" si="1"/>
        <v>40741</v>
      </c>
      <c r="C41" t="str">
        <f t="shared" si="2"/>
        <v>2010</v>
      </c>
      <c r="D41" s="44" t="str">
        <f t="shared" si="4"/>
        <v>Sc-Pure</v>
      </c>
      <c r="E41">
        <v>83.0</v>
      </c>
      <c r="F41">
        <v>38.0</v>
      </c>
      <c r="G41">
        <v>62.0</v>
      </c>
      <c r="H41">
        <v>64.0</v>
      </c>
      <c r="I41">
        <v>96.0</v>
      </c>
      <c r="J41" t="str">
        <f t="shared" si="5"/>
        <v>Pass</v>
      </c>
      <c r="L41" t="str">
        <f t="shared" si="3"/>
        <v>Fail</v>
      </c>
    </row>
    <row r="42" ht="15.75" hidden="1" customHeight="1">
      <c r="A42" t="s">
        <v>340</v>
      </c>
      <c r="B42" t="str">
        <f t="shared" si="1"/>
        <v>56725</v>
      </c>
      <c r="C42" t="str">
        <f t="shared" si="2"/>
        <v>2010</v>
      </c>
      <c r="D42" s="44" t="str">
        <f t="shared" si="4"/>
        <v>Sc-Pure</v>
      </c>
      <c r="E42">
        <v>63.0</v>
      </c>
      <c r="F42">
        <v>78.0</v>
      </c>
      <c r="G42">
        <v>58.0</v>
      </c>
      <c r="H42">
        <v>68.0</v>
      </c>
      <c r="I42">
        <v>76.0</v>
      </c>
      <c r="J42" t="str">
        <f t="shared" si="5"/>
        <v>Pass</v>
      </c>
      <c r="L42" t="str">
        <f t="shared" si="3"/>
        <v>Pass</v>
      </c>
    </row>
    <row r="43" ht="15.75" hidden="1" customHeight="1">
      <c r="A43" t="s">
        <v>341</v>
      </c>
      <c r="B43" t="str">
        <f t="shared" si="1"/>
        <v>21834</v>
      </c>
      <c r="C43" t="str">
        <f t="shared" si="2"/>
        <v>2012</v>
      </c>
      <c r="D43" s="44" t="str">
        <f t="shared" si="4"/>
        <v>Com</v>
      </c>
      <c r="E43">
        <v>68.0</v>
      </c>
      <c r="F43">
        <v>43.0</v>
      </c>
      <c r="G43">
        <v>80.0</v>
      </c>
      <c r="H43">
        <v>99.0</v>
      </c>
      <c r="I43">
        <v>52.0</v>
      </c>
      <c r="J43" t="str">
        <f t="shared" si="5"/>
        <v>Pass</v>
      </c>
      <c r="L43" t="str">
        <f t="shared" si="3"/>
        <v>Pass</v>
      </c>
    </row>
    <row r="44" ht="15.75" hidden="1" customHeight="1">
      <c r="A44" t="s">
        <v>342</v>
      </c>
      <c r="B44" t="str">
        <f t="shared" si="1"/>
        <v>60286</v>
      </c>
      <c r="C44" t="str">
        <f t="shared" si="2"/>
        <v>2010</v>
      </c>
      <c r="D44" s="44" t="str">
        <f t="shared" si="4"/>
        <v>Com</v>
      </c>
      <c r="E44">
        <v>44.0</v>
      </c>
      <c r="F44">
        <v>84.0</v>
      </c>
      <c r="G44">
        <v>78.0</v>
      </c>
      <c r="H44">
        <v>86.0</v>
      </c>
      <c r="I44">
        <v>50.0</v>
      </c>
      <c r="J44" t="str">
        <f t="shared" si="5"/>
        <v>Pass</v>
      </c>
      <c r="L44" t="str">
        <f t="shared" si="3"/>
        <v>Pass</v>
      </c>
    </row>
    <row r="45" ht="15.75" hidden="1" customHeight="1">
      <c r="A45" t="s">
        <v>343</v>
      </c>
      <c r="B45" t="str">
        <f t="shared" si="1"/>
        <v>40732</v>
      </c>
      <c r="C45" t="str">
        <f t="shared" si="2"/>
        <v>2011</v>
      </c>
      <c r="D45" s="44" t="str">
        <f t="shared" si="4"/>
        <v>Sc-Pure</v>
      </c>
      <c r="E45">
        <v>55.0</v>
      </c>
      <c r="F45">
        <v>78.0</v>
      </c>
      <c r="G45">
        <v>80.0</v>
      </c>
      <c r="H45">
        <v>65.0</v>
      </c>
      <c r="I45">
        <v>63.0</v>
      </c>
      <c r="J45" t="str">
        <f t="shared" si="5"/>
        <v>Pass</v>
      </c>
      <c r="L45" t="str">
        <f t="shared" si="3"/>
        <v>Pass</v>
      </c>
    </row>
    <row r="46" ht="15.75" hidden="1" customHeight="1">
      <c r="A46" t="s">
        <v>344</v>
      </c>
      <c r="B46" t="str">
        <f t="shared" si="1"/>
        <v>21855</v>
      </c>
      <c r="C46" t="str">
        <f t="shared" si="2"/>
        <v>2012</v>
      </c>
      <c r="D46" s="44" t="str">
        <f t="shared" si="4"/>
        <v>Sc-Bio</v>
      </c>
      <c r="E46">
        <v>41.0</v>
      </c>
      <c r="F46">
        <v>93.0</v>
      </c>
      <c r="G46">
        <v>94.0</v>
      </c>
      <c r="H46">
        <v>59.0</v>
      </c>
      <c r="I46">
        <v>54.0</v>
      </c>
      <c r="J46" t="str">
        <f t="shared" si="5"/>
        <v>Pass</v>
      </c>
      <c r="L46" t="str">
        <f t="shared" si="3"/>
        <v>Pass</v>
      </c>
    </row>
    <row r="47" ht="15.75" hidden="1" customHeight="1">
      <c r="A47" t="s">
        <v>345</v>
      </c>
      <c r="B47" t="str">
        <f t="shared" si="1"/>
        <v>12864</v>
      </c>
      <c r="C47" t="str">
        <f t="shared" si="2"/>
        <v>2011</v>
      </c>
      <c r="D47" s="44" t="str">
        <f t="shared" si="4"/>
        <v>Sc-Pure</v>
      </c>
      <c r="E47">
        <v>51.0</v>
      </c>
      <c r="F47">
        <v>73.0</v>
      </c>
      <c r="G47">
        <v>52.0</v>
      </c>
      <c r="H47">
        <v>90.0</v>
      </c>
      <c r="I47">
        <v>73.0</v>
      </c>
      <c r="J47" t="str">
        <f t="shared" si="5"/>
        <v>Pass</v>
      </c>
      <c r="L47" t="str">
        <f t="shared" si="3"/>
        <v>Pass</v>
      </c>
    </row>
    <row r="48" ht="15.75" hidden="1" customHeight="1">
      <c r="A48" t="s">
        <v>346</v>
      </c>
      <c r="B48" t="str">
        <f t="shared" si="1"/>
        <v>68053</v>
      </c>
      <c r="C48" t="str">
        <f t="shared" si="2"/>
        <v>2011</v>
      </c>
      <c r="D48" s="44" t="str">
        <f t="shared" si="4"/>
        <v>Arts</v>
      </c>
      <c r="E48">
        <v>50.0</v>
      </c>
      <c r="F48">
        <v>59.0</v>
      </c>
      <c r="G48">
        <v>90.0</v>
      </c>
      <c r="H48">
        <v>63.0</v>
      </c>
      <c r="I48">
        <v>76.0</v>
      </c>
      <c r="J48" t="str">
        <f t="shared" si="5"/>
        <v>Pass</v>
      </c>
      <c r="L48" t="str">
        <f t="shared" si="3"/>
        <v>Pass</v>
      </c>
    </row>
    <row r="49" ht="15.75" hidden="1" customHeight="1">
      <c r="A49" t="s">
        <v>347</v>
      </c>
      <c r="B49" t="str">
        <f t="shared" si="1"/>
        <v>33306</v>
      </c>
      <c r="C49" t="str">
        <f t="shared" si="2"/>
        <v>2010</v>
      </c>
      <c r="D49" s="44" t="str">
        <f t="shared" si="4"/>
        <v>Sc-Bio</v>
      </c>
      <c r="E49">
        <v>80.0</v>
      </c>
      <c r="F49">
        <v>55.0</v>
      </c>
      <c r="G49">
        <v>65.0</v>
      </c>
      <c r="H49">
        <v>39.0</v>
      </c>
      <c r="I49">
        <v>94.0</v>
      </c>
      <c r="J49" t="str">
        <f t="shared" si="5"/>
        <v>Pass</v>
      </c>
      <c r="L49" t="str">
        <f t="shared" si="3"/>
        <v>Fail</v>
      </c>
    </row>
    <row r="50" ht="15.75" hidden="1" customHeight="1">
      <c r="A50" t="s">
        <v>348</v>
      </c>
      <c r="B50" t="str">
        <f t="shared" si="1"/>
        <v>53814</v>
      </c>
      <c r="C50" t="str">
        <f t="shared" si="2"/>
        <v>2011</v>
      </c>
      <c r="D50" s="44" t="str">
        <f t="shared" si="4"/>
        <v>Com</v>
      </c>
      <c r="E50">
        <v>78.0</v>
      </c>
      <c r="F50">
        <v>56.0</v>
      </c>
      <c r="G50">
        <v>48.0</v>
      </c>
      <c r="H50">
        <v>73.0</v>
      </c>
      <c r="I50">
        <v>78.0</v>
      </c>
      <c r="J50" t="str">
        <f t="shared" si="5"/>
        <v>Pass</v>
      </c>
      <c r="L50" t="str">
        <f t="shared" si="3"/>
        <v>Pass</v>
      </c>
    </row>
    <row r="51" ht="15.75" hidden="1" customHeight="1">
      <c r="A51" t="s">
        <v>349</v>
      </c>
      <c r="B51" t="str">
        <f t="shared" si="1"/>
        <v>21864</v>
      </c>
      <c r="C51" t="str">
        <f t="shared" si="2"/>
        <v>2010</v>
      </c>
      <c r="D51" s="44" t="str">
        <f t="shared" si="4"/>
        <v>Sc-Bio</v>
      </c>
      <c r="E51">
        <v>93.0</v>
      </c>
      <c r="F51">
        <v>64.0</v>
      </c>
      <c r="G51">
        <v>50.0</v>
      </c>
      <c r="H51">
        <v>55.0</v>
      </c>
      <c r="I51">
        <v>67.0</v>
      </c>
      <c r="J51" t="str">
        <f t="shared" si="5"/>
        <v>Pass</v>
      </c>
      <c r="L51" t="str">
        <f t="shared" si="3"/>
        <v>Pass</v>
      </c>
    </row>
    <row r="52" ht="15.75" hidden="1" customHeight="1">
      <c r="A52" t="s">
        <v>350</v>
      </c>
      <c r="B52" t="str">
        <f t="shared" si="1"/>
        <v>21852</v>
      </c>
      <c r="C52" t="str">
        <f t="shared" si="2"/>
        <v>2011</v>
      </c>
      <c r="D52" s="44" t="str">
        <f t="shared" si="4"/>
        <v>Arts</v>
      </c>
      <c r="E52">
        <v>93.0</v>
      </c>
      <c r="F52">
        <v>51.0</v>
      </c>
      <c r="G52">
        <v>37.0</v>
      </c>
      <c r="H52">
        <v>73.0</v>
      </c>
      <c r="I52">
        <v>75.0</v>
      </c>
      <c r="J52" t="str">
        <f t="shared" si="5"/>
        <v>Pass</v>
      </c>
      <c r="L52" t="str">
        <f t="shared" si="3"/>
        <v>Fail</v>
      </c>
    </row>
    <row r="53" ht="15.75" hidden="1" customHeight="1">
      <c r="A53" t="s">
        <v>351</v>
      </c>
      <c r="B53" t="str">
        <f t="shared" si="1"/>
        <v>62039</v>
      </c>
      <c r="C53" t="str">
        <f t="shared" si="2"/>
        <v>2010</v>
      </c>
      <c r="D53" s="44" t="str">
        <f t="shared" si="4"/>
        <v>Sc-Pure</v>
      </c>
      <c r="E53">
        <v>55.0</v>
      </c>
      <c r="F53">
        <v>83.0</v>
      </c>
      <c r="G53">
        <v>56.0</v>
      </c>
      <c r="H53">
        <v>72.0</v>
      </c>
      <c r="I53">
        <v>63.0</v>
      </c>
      <c r="J53" t="str">
        <f t="shared" si="5"/>
        <v>Pass</v>
      </c>
      <c r="L53" t="str">
        <f t="shared" si="3"/>
        <v>Pass</v>
      </c>
    </row>
    <row r="54" ht="15.75" hidden="1" customHeight="1">
      <c r="A54" t="s">
        <v>352</v>
      </c>
      <c r="B54" t="str">
        <f t="shared" si="1"/>
        <v>76310</v>
      </c>
      <c r="C54" t="str">
        <f t="shared" si="2"/>
        <v>2012</v>
      </c>
      <c r="D54" s="44" t="str">
        <f t="shared" si="4"/>
        <v>Sc-Bio</v>
      </c>
      <c r="E54">
        <v>71.0</v>
      </c>
      <c r="F54">
        <v>50.0</v>
      </c>
      <c r="G54">
        <v>79.0</v>
      </c>
      <c r="H54">
        <v>84.0</v>
      </c>
      <c r="I54">
        <v>44.0</v>
      </c>
      <c r="J54" t="str">
        <f t="shared" si="5"/>
        <v>Pass</v>
      </c>
      <c r="L54" t="str">
        <f t="shared" si="3"/>
        <v>Pass</v>
      </c>
    </row>
    <row r="55" ht="15.75" hidden="1" customHeight="1">
      <c r="A55" t="s">
        <v>353</v>
      </c>
      <c r="B55" t="str">
        <f t="shared" si="1"/>
        <v>68065</v>
      </c>
      <c r="C55" t="str">
        <f t="shared" si="2"/>
        <v>2012</v>
      </c>
      <c r="D55" s="44" t="str">
        <f t="shared" si="4"/>
        <v>Sc-Pure</v>
      </c>
      <c r="E55">
        <v>56.0</v>
      </c>
      <c r="F55">
        <v>77.0</v>
      </c>
      <c r="G55">
        <v>54.0</v>
      </c>
      <c r="H55">
        <v>51.0</v>
      </c>
      <c r="I55">
        <v>86.0</v>
      </c>
      <c r="J55" t="str">
        <f t="shared" si="5"/>
        <v>Pass</v>
      </c>
      <c r="L55" t="str">
        <f t="shared" si="3"/>
        <v>Pass</v>
      </c>
    </row>
    <row r="56" ht="15.75" hidden="1" customHeight="1">
      <c r="A56" t="s">
        <v>354</v>
      </c>
      <c r="B56" t="str">
        <f t="shared" si="1"/>
        <v>97463</v>
      </c>
      <c r="C56" t="str">
        <f t="shared" si="2"/>
        <v>2012</v>
      </c>
      <c r="D56" s="44" t="str">
        <f t="shared" si="4"/>
        <v>Com</v>
      </c>
      <c r="E56">
        <v>88.0</v>
      </c>
      <c r="F56">
        <v>81.0</v>
      </c>
      <c r="G56">
        <v>56.0</v>
      </c>
      <c r="H56">
        <v>56.0</v>
      </c>
      <c r="I56">
        <v>42.0</v>
      </c>
      <c r="J56" t="str">
        <f t="shared" si="5"/>
        <v>Pass</v>
      </c>
      <c r="L56" t="str">
        <f t="shared" si="3"/>
        <v>Pass</v>
      </c>
    </row>
    <row r="57" ht="15.75" hidden="1" customHeight="1">
      <c r="A57" t="s">
        <v>355</v>
      </c>
      <c r="B57" t="str">
        <f t="shared" si="1"/>
        <v>40747</v>
      </c>
      <c r="C57" t="str">
        <f t="shared" si="2"/>
        <v>2010</v>
      </c>
      <c r="D57" s="44" t="str">
        <f t="shared" si="4"/>
        <v>Com</v>
      </c>
      <c r="E57">
        <v>48.0</v>
      </c>
      <c r="F57">
        <v>44.0</v>
      </c>
      <c r="G57">
        <v>85.0</v>
      </c>
      <c r="H57">
        <v>98.0</v>
      </c>
      <c r="I57">
        <v>48.0</v>
      </c>
      <c r="J57" t="str">
        <f t="shared" si="5"/>
        <v>Pass</v>
      </c>
      <c r="L57" t="str">
        <f t="shared" si="3"/>
        <v>Pass</v>
      </c>
    </row>
    <row r="58" ht="15.75" hidden="1" customHeight="1">
      <c r="A58" t="s">
        <v>356</v>
      </c>
      <c r="B58" t="str">
        <f t="shared" si="1"/>
        <v>21582</v>
      </c>
      <c r="C58" t="str">
        <f t="shared" si="2"/>
        <v>2010</v>
      </c>
      <c r="D58" s="44" t="str">
        <f t="shared" si="4"/>
        <v>Com</v>
      </c>
      <c r="E58">
        <v>90.0</v>
      </c>
      <c r="F58">
        <v>38.0</v>
      </c>
      <c r="G58">
        <v>92.0</v>
      </c>
      <c r="H58">
        <v>51.0</v>
      </c>
      <c r="I58">
        <v>49.0</v>
      </c>
      <c r="J58" t="str">
        <f t="shared" si="5"/>
        <v>Pass</v>
      </c>
      <c r="L58" t="str">
        <f t="shared" si="3"/>
        <v>Fail</v>
      </c>
    </row>
    <row r="59" ht="15.75" hidden="1" customHeight="1">
      <c r="A59" t="s">
        <v>357</v>
      </c>
      <c r="B59" t="str">
        <f t="shared" si="1"/>
        <v>40753</v>
      </c>
      <c r="C59" t="str">
        <f t="shared" si="2"/>
        <v>2011</v>
      </c>
      <c r="D59" s="44" t="str">
        <f t="shared" si="4"/>
        <v>Arts</v>
      </c>
      <c r="E59">
        <v>72.0</v>
      </c>
      <c r="F59">
        <v>98.0</v>
      </c>
      <c r="G59">
        <v>64.0</v>
      </c>
      <c r="H59">
        <v>47.0</v>
      </c>
      <c r="I59">
        <v>39.0</v>
      </c>
      <c r="J59" t="str">
        <f t="shared" si="5"/>
        <v>Pass</v>
      </c>
      <c r="L59" t="str">
        <f t="shared" si="3"/>
        <v>Fail</v>
      </c>
    </row>
    <row r="60" ht="15.75" hidden="1" customHeight="1">
      <c r="A60" t="s">
        <v>358</v>
      </c>
      <c r="B60" t="str">
        <f t="shared" si="1"/>
        <v>75649</v>
      </c>
      <c r="C60" t="str">
        <f t="shared" si="2"/>
        <v>2011</v>
      </c>
      <c r="D60" s="44" t="str">
        <f t="shared" si="4"/>
        <v>Sc-Pure</v>
      </c>
      <c r="E60">
        <v>95.0</v>
      </c>
      <c r="F60">
        <v>37.0</v>
      </c>
      <c r="G60">
        <v>35.0</v>
      </c>
      <c r="H60">
        <v>71.0</v>
      </c>
      <c r="I60">
        <v>78.0</v>
      </c>
      <c r="J60" t="str">
        <f t="shared" si="5"/>
        <v>Fail</v>
      </c>
      <c r="L60" t="str">
        <f t="shared" si="3"/>
        <v>Fail</v>
      </c>
    </row>
    <row r="61" ht="15.75" hidden="1" customHeight="1">
      <c r="A61" t="s">
        <v>359</v>
      </c>
      <c r="B61" t="str">
        <f t="shared" si="1"/>
        <v>68047</v>
      </c>
      <c r="C61" t="str">
        <f t="shared" si="2"/>
        <v>2011</v>
      </c>
      <c r="D61" s="44" t="str">
        <f t="shared" si="4"/>
        <v>Com</v>
      </c>
      <c r="E61">
        <v>43.0</v>
      </c>
      <c r="F61">
        <v>78.0</v>
      </c>
      <c r="G61">
        <v>57.0</v>
      </c>
      <c r="H61">
        <v>88.0</v>
      </c>
      <c r="I61">
        <v>49.0</v>
      </c>
      <c r="J61" t="str">
        <f t="shared" si="5"/>
        <v>Pass</v>
      </c>
      <c r="L61" t="str">
        <f t="shared" si="3"/>
        <v>Pass</v>
      </c>
    </row>
    <row r="62" ht="15.75" hidden="1" customHeight="1">
      <c r="A62" t="s">
        <v>360</v>
      </c>
      <c r="B62" t="str">
        <f t="shared" si="1"/>
        <v>21849</v>
      </c>
      <c r="C62" t="str">
        <f t="shared" si="2"/>
        <v>2011</v>
      </c>
      <c r="D62" s="44" t="str">
        <f t="shared" si="4"/>
        <v>Arts</v>
      </c>
      <c r="E62">
        <v>40.0</v>
      </c>
      <c r="F62">
        <v>79.0</v>
      </c>
      <c r="G62">
        <v>42.0</v>
      </c>
      <c r="H62">
        <v>71.0</v>
      </c>
      <c r="I62">
        <v>82.0</v>
      </c>
      <c r="J62" t="str">
        <f t="shared" si="5"/>
        <v>Pass</v>
      </c>
      <c r="L62" t="str">
        <f t="shared" si="3"/>
        <v>Pass</v>
      </c>
    </row>
    <row r="63" ht="15.75" hidden="1" customHeight="1">
      <c r="A63" t="s">
        <v>361</v>
      </c>
      <c r="B63" t="str">
        <f t="shared" si="1"/>
        <v>83708</v>
      </c>
      <c r="C63" t="str">
        <f t="shared" si="2"/>
        <v>2010</v>
      </c>
      <c r="D63" s="44" t="str">
        <f t="shared" si="4"/>
        <v>Sc-Bio</v>
      </c>
      <c r="E63">
        <v>67.0</v>
      </c>
      <c r="F63">
        <v>67.0</v>
      </c>
      <c r="G63">
        <v>38.0</v>
      </c>
      <c r="H63">
        <v>74.0</v>
      </c>
      <c r="I63">
        <v>66.0</v>
      </c>
      <c r="J63" t="str">
        <f t="shared" si="5"/>
        <v>Pass</v>
      </c>
      <c r="L63" t="str">
        <f t="shared" si="3"/>
        <v>Fail</v>
      </c>
    </row>
    <row r="64" ht="15.75" hidden="1" customHeight="1">
      <c r="A64" t="s">
        <v>362</v>
      </c>
      <c r="B64" t="str">
        <f t="shared" si="1"/>
        <v>81941</v>
      </c>
      <c r="C64" t="str">
        <f t="shared" si="2"/>
        <v>2012</v>
      </c>
      <c r="D64" s="44" t="str">
        <f t="shared" si="4"/>
        <v>Sc-Bio</v>
      </c>
      <c r="E64">
        <v>43.0</v>
      </c>
      <c r="F64">
        <v>53.0</v>
      </c>
      <c r="G64">
        <v>60.0</v>
      </c>
      <c r="H64">
        <v>70.0</v>
      </c>
      <c r="I64">
        <v>83.0</v>
      </c>
      <c r="J64" t="str">
        <f t="shared" si="5"/>
        <v>Pass</v>
      </c>
      <c r="L64" t="str">
        <f t="shared" si="3"/>
        <v>Pass</v>
      </c>
    </row>
    <row r="65" ht="15.75" hidden="1" customHeight="1">
      <c r="A65" t="s">
        <v>363</v>
      </c>
      <c r="B65" t="str">
        <f t="shared" si="1"/>
        <v>65205</v>
      </c>
      <c r="C65" t="str">
        <f t="shared" si="2"/>
        <v>2012</v>
      </c>
      <c r="D65" s="44" t="str">
        <f t="shared" si="4"/>
        <v>Sc-Pure</v>
      </c>
      <c r="E65">
        <v>41.0</v>
      </c>
      <c r="F65">
        <v>42.0</v>
      </c>
      <c r="G65">
        <v>84.0</v>
      </c>
      <c r="H65">
        <v>79.0</v>
      </c>
      <c r="I65">
        <v>63.0</v>
      </c>
      <c r="J65" t="str">
        <f t="shared" si="5"/>
        <v>Pass</v>
      </c>
      <c r="L65" t="str">
        <f t="shared" si="3"/>
        <v>Pass</v>
      </c>
    </row>
    <row r="66" ht="15.75" hidden="1" customHeight="1">
      <c r="A66" t="s">
        <v>364</v>
      </c>
      <c r="B66" t="str">
        <f t="shared" si="1"/>
        <v>78611</v>
      </c>
      <c r="C66" t="str">
        <f t="shared" si="2"/>
        <v>2011</v>
      </c>
      <c r="D66" s="44" t="str">
        <f t="shared" si="4"/>
        <v>Sc-Bio</v>
      </c>
      <c r="E66">
        <v>38.0</v>
      </c>
      <c r="F66">
        <v>50.0</v>
      </c>
      <c r="G66">
        <v>98.0</v>
      </c>
      <c r="H66">
        <v>35.0</v>
      </c>
      <c r="I66">
        <v>87.0</v>
      </c>
      <c r="J66" t="str">
        <f t="shared" si="5"/>
        <v>Fail</v>
      </c>
      <c r="L66" t="str">
        <f t="shared" si="3"/>
        <v>Fail</v>
      </c>
    </row>
    <row r="67" ht="15.75" hidden="1" customHeight="1">
      <c r="A67" t="s">
        <v>365</v>
      </c>
      <c r="B67" t="str">
        <f t="shared" si="1"/>
        <v>41332</v>
      </c>
      <c r="C67" t="str">
        <f t="shared" si="2"/>
        <v>2012</v>
      </c>
      <c r="D67" s="44" t="str">
        <f t="shared" si="4"/>
        <v>Arts</v>
      </c>
      <c r="E67">
        <v>59.0</v>
      </c>
      <c r="F67">
        <v>83.0</v>
      </c>
      <c r="G67">
        <v>66.0</v>
      </c>
      <c r="H67">
        <v>47.0</v>
      </c>
      <c r="I67">
        <v>52.0</v>
      </c>
      <c r="J67" t="str">
        <f t="shared" si="5"/>
        <v>Pass</v>
      </c>
      <c r="L67" t="str">
        <f t="shared" si="3"/>
        <v>Pass</v>
      </c>
    </row>
    <row r="68" ht="15.75" hidden="1" customHeight="1">
      <c r="A68" t="s">
        <v>366</v>
      </c>
      <c r="B68" t="str">
        <f t="shared" si="1"/>
        <v>70063</v>
      </c>
      <c r="C68" t="str">
        <f t="shared" si="2"/>
        <v>2010</v>
      </c>
      <c r="D68" s="44" t="str">
        <f t="shared" si="4"/>
        <v>Com</v>
      </c>
      <c r="E68">
        <v>46.0</v>
      </c>
      <c r="F68">
        <v>65.0</v>
      </c>
      <c r="G68">
        <v>44.0</v>
      </c>
      <c r="H68">
        <v>89.0</v>
      </c>
      <c r="I68">
        <v>61.0</v>
      </c>
      <c r="J68" t="str">
        <f t="shared" si="5"/>
        <v>Pass</v>
      </c>
      <c r="L68" t="str">
        <f t="shared" si="3"/>
        <v>Pass</v>
      </c>
    </row>
    <row r="69" ht="15.75" hidden="1" customHeight="1">
      <c r="A69" t="s">
        <v>367</v>
      </c>
      <c r="B69" t="str">
        <f t="shared" si="1"/>
        <v>21573</v>
      </c>
      <c r="C69" t="str">
        <f t="shared" si="2"/>
        <v>2010</v>
      </c>
      <c r="D69" s="44" t="str">
        <f t="shared" si="4"/>
        <v>Com</v>
      </c>
      <c r="E69">
        <v>62.0</v>
      </c>
      <c r="F69">
        <v>62.0</v>
      </c>
      <c r="G69">
        <v>61.0</v>
      </c>
      <c r="H69">
        <v>84.0</v>
      </c>
      <c r="I69">
        <v>35.0</v>
      </c>
      <c r="J69" t="str">
        <f t="shared" si="5"/>
        <v>Pass</v>
      </c>
      <c r="L69" t="str">
        <f t="shared" si="3"/>
        <v>Fail</v>
      </c>
    </row>
    <row r="70" ht="15.75" hidden="1" customHeight="1">
      <c r="A70" t="s">
        <v>368</v>
      </c>
      <c r="B70" t="str">
        <f t="shared" si="1"/>
        <v>68056</v>
      </c>
      <c r="C70" t="str">
        <f t="shared" si="2"/>
        <v>2012</v>
      </c>
      <c r="D70" s="44" t="str">
        <f t="shared" si="4"/>
        <v>Com</v>
      </c>
      <c r="E70">
        <v>41.0</v>
      </c>
      <c r="F70">
        <v>70.0</v>
      </c>
      <c r="G70">
        <v>81.0</v>
      </c>
      <c r="H70">
        <v>71.0</v>
      </c>
      <c r="I70">
        <v>41.0</v>
      </c>
      <c r="J70" t="str">
        <f t="shared" si="5"/>
        <v>Pass</v>
      </c>
      <c r="L70" t="str">
        <f t="shared" si="3"/>
        <v>Pass</v>
      </c>
    </row>
    <row r="71" ht="15.75" hidden="1" customHeight="1">
      <c r="A71" t="s">
        <v>369</v>
      </c>
      <c r="B71" t="str">
        <f t="shared" si="1"/>
        <v>62252</v>
      </c>
      <c r="C71" t="str">
        <f t="shared" si="2"/>
        <v>2010</v>
      </c>
      <c r="D71" s="44" t="str">
        <f t="shared" si="4"/>
        <v>Sc-Bio</v>
      </c>
      <c r="E71">
        <v>91.0</v>
      </c>
      <c r="F71">
        <v>35.0</v>
      </c>
      <c r="G71">
        <v>74.0</v>
      </c>
      <c r="H71">
        <v>57.0</v>
      </c>
      <c r="I71">
        <v>45.0</v>
      </c>
      <c r="J71" t="str">
        <f t="shared" si="5"/>
        <v>Pass</v>
      </c>
      <c r="L71" t="str">
        <f t="shared" si="3"/>
        <v>Fail</v>
      </c>
    </row>
    <row r="72" ht="15.75" hidden="1" customHeight="1">
      <c r="A72" t="s">
        <v>370</v>
      </c>
      <c r="B72" t="str">
        <f t="shared" si="1"/>
        <v>40756</v>
      </c>
      <c r="C72" t="str">
        <f t="shared" si="2"/>
        <v>2010</v>
      </c>
      <c r="D72" s="44" t="str">
        <f t="shared" si="4"/>
        <v>Com</v>
      </c>
      <c r="E72">
        <v>73.0</v>
      </c>
      <c r="F72">
        <v>76.0</v>
      </c>
      <c r="G72">
        <v>44.0</v>
      </c>
      <c r="H72">
        <v>40.0</v>
      </c>
      <c r="I72">
        <v>68.0</v>
      </c>
      <c r="J72" t="str">
        <f t="shared" si="5"/>
        <v>Pass</v>
      </c>
      <c r="L72" t="str">
        <f t="shared" si="3"/>
        <v>Pass</v>
      </c>
    </row>
    <row r="73" ht="15.75" hidden="1" customHeight="1">
      <c r="A73" t="s">
        <v>371</v>
      </c>
      <c r="B73" t="str">
        <f t="shared" si="1"/>
        <v>68038</v>
      </c>
      <c r="C73" t="str">
        <f t="shared" si="2"/>
        <v>2010</v>
      </c>
      <c r="D73" s="44" t="str">
        <f t="shared" si="4"/>
        <v>Com</v>
      </c>
      <c r="E73">
        <v>86.0</v>
      </c>
      <c r="F73">
        <v>91.0</v>
      </c>
      <c r="G73">
        <v>39.0</v>
      </c>
      <c r="H73">
        <v>49.0</v>
      </c>
      <c r="I73">
        <v>35.0</v>
      </c>
      <c r="J73" t="str">
        <f t="shared" si="5"/>
        <v>Fail</v>
      </c>
      <c r="L73" t="str">
        <f t="shared" si="3"/>
        <v>Fail</v>
      </c>
    </row>
    <row r="74" ht="15.75" hidden="1" customHeight="1">
      <c r="A74" t="s">
        <v>372</v>
      </c>
      <c r="B74" t="str">
        <f t="shared" si="1"/>
        <v>67954</v>
      </c>
      <c r="C74" t="str">
        <f t="shared" si="2"/>
        <v>2011</v>
      </c>
      <c r="D74" s="44" t="str">
        <f t="shared" si="4"/>
        <v>Arts</v>
      </c>
      <c r="E74">
        <v>36.0</v>
      </c>
      <c r="F74">
        <v>92.0</v>
      </c>
      <c r="G74">
        <v>44.0</v>
      </c>
      <c r="H74">
        <v>67.0</v>
      </c>
      <c r="I74">
        <v>61.0</v>
      </c>
      <c r="J74" t="str">
        <f t="shared" si="5"/>
        <v>Fail</v>
      </c>
      <c r="L74" t="str">
        <f t="shared" si="3"/>
        <v>Fail</v>
      </c>
    </row>
    <row r="75" ht="15.75" hidden="1" customHeight="1">
      <c r="A75" t="s">
        <v>373</v>
      </c>
      <c r="B75" t="str">
        <f t="shared" si="1"/>
        <v>68062</v>
      </c>
      <c r="C75" t="str">
        <f t="shared" si="2"/>
        <v>2012</v>
      </c>
      <c r="D75" s="44" t="str">
        <f t="shared" si="4"/>
        <v>Sc-Bio</v>
      </c>
      <c r="E75">
        <v>89.0</v>
      </c>
      <c r="F75">
        <v>62.0</v>
      </c>
      <c r="G75">
        <v>56.0</v>
      </c>
      <c r="H75">
        <v>39.0</v>
      </c>
      <c r="I75">
        <v>52.0</v>
      </c>
      <c r="J75" t="str">
        <f t="shared" si="5"/>
        <v>Pass</v>
      </c>
      <c r="L75" t="str">
        <f t="shared" si="3"/>
        <v>Fail</v>
      </c>
    </row>
    <row r="76" ht="15.75" hidden="1" customHeight="1">
      <c r="A76" t="s">
        <v>374</v>
      </c>
      <c r="B76" t="str">
        <f t="shared" si="1"/>
        <v>99306</v>
      </c>
      <c r="C76" t="str">
        <f t="shared" si="2"/>
        <v>2012</v>
      </c>
      <c r="D76" s="44" t="str">
        <f t="shared" si="4"/>
        <v>Arts</v>
      </c>
      <c r="E76">
        <v>70.0</v>
      </c>
      <c r="F76">
        <v>54.0</v>
      </c>
      <c r="G76">
        <v>58.0</v>
      </c>
      <c r="H76">
        <v>70.0</v>
      </c>
      <c r="I76">
        <v>46.0</v>
      </c>
      <c r="J76" t="str">
        <f t="shared" si="5"/>
        <v>Pass</v>
      </c>
      <c r="L76" t="str">
        <f t="shared" si="3"/>
        <v>Pass</v>
      </c>
    </row>
    <row r="77" ht="15.75" hidden="1" customHeight="1">
      <c r="A77" t="s">
        <v>375</v>
      </c>
      <c r="B77" t="str">
        <f t="shared" si="1"/>
        <v>27884</v>
      </c>
      <c r="C77" t="str">
        <f t="shared" si="2"/>
        <v>2011</v>
      </c>
      <c r="D77" s="44" t="str">
        <f t="shared" si="4"/>
        <v>Sc-Pure</v>
      </c>
      <c r="E77">
        <v>88.0</v>
      </c>
      <c r="F77">
        <v>50.0</v>
      </c>
      <c r="G77">
        <v>84.0</v>
      </c>
      <c r="H77">
        <v>36.0</v>
      </c>
      <c r="I77">
        <v>36.0</v>
      </c>
      <c r="J77" t="str">
        <f t="shared" si="5"/>
        <v>Fail</v>
      </c>
      <c r="L77" t="str">
        <f t="shared" si="3"/>
        <v>Fail</v>
      </c>
    </row>
    <row r="78" ht="15.75" hidden="1" customHeight="1">
      <c r="A78" t="s">
        <v>376</v>
      </c>
      <c r="B78" t="str">
        <f t="shared" si="1"/>
        <v>61911</v>
      </c>
      <c r="C78" t="str">
        <f t="shared" si="2"/>
        <v>2012</v>
      </c>
      <c r="D78" s="44" t="str">
        <f t="shared" si="4"/>
        <v>Sc-Bio</v>
      </c>
      <c r="E78">
        <v>60.0</v>
      </c>
      <c r="F78">
        <v>36.0</v>
      </c>
      <c r="G78">
        <v>52.0</v>
      </c>
      <c r="H78">
        <v>78.0</v>
      </c>
      <c r="I78">
        <v>67.0</v>
      </c>
      <c r="J78" t="str">
        <f t="shared" si="5"/>
        <v>Pass</v>
      </c>
      <c r="L78" t="str">
        <f t="shared" si="3"/>
        <v>Fail</v>
      </c>
    </row>
    <row r="79" ht="15.75" hidden="1" customHeight="1">
      <c r="A79" t="s">
        <v>377</v>
      </c>
      <c r="B79" t="str">
        <f t="shared" si="1"/>
        <v>21861</v>
      </c>
      <c r="C79" t="str">
        <f t="shared" si="2"/>
        <v>2011</v>
      </c>
      <c r="D79" s="44" t="str">
        <f t="shared" si="4"/>
        <v>Sc-Pure</v>
      </c>
      <c r="E79">
        <v>43.0</v>
      </c>
      <c r="F79">
        <v>36.0</v>
      </c>
      <c r="G79">
        <v>58.0</v>
      </c>
      <c r="H79">
        <v>69.0</v>
      </c>
      <c r="I79">
        <v>87.0</v>
      </c>
      <c r="J79" t="str">
        <f t="shared" si="5"/>
        <v>Pass</v>
      </c>
      <c r="L79" t="str">
        <f t="shared" si="3"/>
        <v>Fail</v>
      </c>
    </row>
    <row r="80" ht="15.75" hidden="1" customHeight="1">
      <c r="A80" t="s">
        <v>378</v>
      </c>
      <c r="B80" t="str">
        <f t="shared" si="1"/>
        <v>99040</v>
      </c>
      <c r="C80" t="str">
        <f t="shared" si="2"/>
        <v>2011</v>
      </c>
      <c r="D80" s="44" t="str">
        <f t="shared" si="4"/>
        <v>Com</v>
      </c>
      <c r="E80">
        <v>69.0</v>
      </c>
      <c r="F80">
        <v>47.0</v>
      </c>
      <c r="G80">
        <v>54.0</v>
      </c>
      <c r="H80">
        <v>48.0</v>
      </c>
      <c r="I80">
        <v>74.0</v>
      </c>
      <c r="J80" t="str">
        <f t="shared" si="5"/>
        <v>Pass</v>
      </c>
      <c r="L80" t="str">
        <f t="shared" si="3"/>
        <v>Pass</v>
      </c>
    </row>
    <row r="81" ht="15.75" hidden="1" customHeight="1">
      <c r="A81" t="s">
        <v>379</v>
      </c>
      <c r="B81" t="str">
        <f t="shared" si="1"/>
        <v>79107</v>
      </c>
      <c r="C81" t="str">
        <f t="shared" si="2"/>
        <v>2011</v>
      </c>
      <c r="D81" s="44" t="str">
        <f t="shared" si="4"/>
        <v>Com</v>
      </c>
      <c r="E81">
        <v>61.0</v>
      </c>
      <c r="F81">
        <v>35.0</v>
      </c>
      <c r="G81">
        <v>72.0</v>
      </c>
      <c r="H81">
        <v>88.0</v>
      </c>
      <c r="I81">
        <v>35.0</v>
      </c>
      <c r="J81" t="str">
        <f t="shared" si="5"/>
        <v>Fail</v>
      </c>
      <c r="L81" t="str">
        <f t="shared" si="3"/>
        <v>Fail</v>
      </c>
    </row>
    <row r="82" ht="15.75" hidden="1" customHeight="1">
      <c r="A82" t="s">
        <v>380</v>
      </c>
      <c r="B82" t="str">
        <f t="shared" si="1"/>
        <v>98686</v>
      </c>
      <c r="C82" t="str">
        <f t="shared" si="2"/>
        <v>2012</v>
      </c>
      <c r="D82" s="44" t="str">
        <f t="shared" si="4"/>
        <v>Sc-Pure</v>
      </c>
      <c r="E82">
        <v>84.0</v>
      </c>
      <c r="F82">
        <v>57.0</v>
      </c>
      <c r="G82">
        <v>69.0</v>
      </c>
      <c r="H82">
        <v>41.0</v>
      </c>
      <c r="I82">
        <v>35.0</v>
      </c>
      <c r="J82" t="str">
        <f t="shared" si="5"/>
        <v>Pass</v>
      </c>
      <c r="L82" t="str">
        <f t="shared" si="3"/>
        <v>Fail</v>
      </c>
    </row>
    <row r="83" ht="15.75" hidden="1" customHeight="1">
      <c r="A83" t="s">
        <v>381</v>
      </c>
      <c r="B83" t="str">
        <f t="shared" si="1"/>
        <v>68050</v>
      </c>
      <c r="C83" t="str">
        <f t="shared" si="2"/>
        <v>2012</v>
      </c>
      <c r="D83" s="44" t="str">
        <f t="shared" si="4"/>
        <v>Arts</v>
      </c>
      <c r="E83">
        <v>70.0</v>
      </c>
      <c r="F83">
        <v>38.0</v>
      </c>
      <c r="G83">
        <v>45.0</v>
      </c>
      <c r="H83">
        <v>87.0</v>
      </c>
      <c r="I83">
        <v>38.0</v>
      </c>
      <c r="J83" t="str">
        <f t="shared" si="5"/>
        <v>Fail</v>
      </c>
      <c r="L83" t="str">
        <f t="shared" si="3"/>
        <v>Fail</v>
      </c>
    </row>
    <row r="84" ht="15.75" hidden="1" customHeight="1">
      <c r="A84" t="s">
        <v>382</v>
      </c>
      <c r="B84" t="str">
        <f t="shared" si="1"/>
        <v>24737</v>
      </c>
      <c r="C84" t="str">
        <f t="shared" si="2"/>
        <v>2011</v>
      </c>
      <c r="D84" s="44" t="str">
        <f t="shared" si="4"/>
        <v>Sc-Bio</v>
      </c>
      <c r="E84">
        <v>45.0</v>
      </c>
      <c r="F84">
        <v>52.0</v>
      </c>
      <c r="G84">
        <v>98.0</v>
      </c>
      <c r="H84">
        <v>40.0</v>
      </c>
      <c r="I84">
        <v>38.0</v>
      </c>
      <c r="J84" t="str">
        <f t="shared" si="5"/>
        <v>Pass</v>
      </c>
      <c r="L84" t="str">
        <f t="shared" si="3"/>
        <v>Fail</v>
      </c>
    </row>
    <row r="85" ht="15.75" hidden="1" customHeight="1">
      <c r="A85" t="s">
        <v>383</v>
      </c>
      <c r="B85" t="str">
        <f t="shared" si="1"/>
        <v>68044</v>
      </c>
      <c r="C85" t="str">
        <f t="shared" si="2"/>
        <v>2012</v>
      </c>
      <c r="D85" s="44" t="str">
        <f t="shared" si="4"/>
        <v>Sc-Bio</v>
      </c>
      <c r="E85">
        <v>55.0</v>
      </c>
      <c r="F85">
        <v>50.0</v>
      </c>
      <c r="G85">
        <v>53.0</v>
      </c>
      <c r="H85">
        <v>69.0</v>
      </c>
      <c r="I85">
        <v>41.0</v>
      </c>
      <c r="J85" t="str">
        <f t="shared" si="5"/>
        <v>Pass</v>
      </c>
      <c r="L85" t="str">
        <f t="shared" si="3"/>
        <v>Pass</v>
      </c>
    </row>
    <row r="86" ht="15.75" hidden="1" customHeight="1">
      <c r="A86" t="s">
        <v>384</v>
      </c>
      <c r="B86" t="str">
        <f t="shared" si="1"/>
        <v>58592</v>
      </c>
      <c r="C86" t="str">
        <f t="shared" si="2"/>
        <v>2010</v>
      </c>
      <c r="D86" s="44" t="str">
        <f t="shared" si="4"/>
        <v>Arts</v>
      </c>
      <c r="E86">
        <v>36.0</v>
      </c>
      <c r="F86">
        <v>46.0</v>
      </c>
      <c r="G86">
        <v>69.0</v>
      </c>
      <c r="H86">
        <v>77.0</v>
      </c>
      <c r="I86">
        <v>38.0</v>
      </c>
      <c r="J86" t="str">
        <f t="shared" si="5"/>
        <v>Fail</v>
      </c>
      <c r="L86" t="str">
        <f t="shared" si="3"/>
        <v>Fail</v>
      </c>
    </row>
    <row r="87" ht="15.75" hidden="1" customHeight="1">
      <c r="A87" t="s">
        <v>385</v>
      </c>
      <c r="B87" t="str">
        <f t="shared" si="1"/>
        <v>40726</v>
      </c>
      <c r="C87" t="str">
        <f t="shared" si="2"/>
        <v>2010</v>
      </c>
      <c r="D87" s="44" t="str">
        <f t="shared" si="4"/>
        <v>Sc-Bio</v>
      </c>
      <c r="E87">
        <v>36.0</v>
      </c>
      <c r="F87">
        <v>47.0</v>
      </c>
      <c r="G87">
        <v>71.0</v>
      </c>
      <c r="H87">
        <v>62.0</v>
      </c>
      <c r="I87">
        <v>41.0</v>
      </c>
      <c r="J87" t="str">
        <f t="shared" si="5"/>
        <v>Fail</v>
      </c>
      <c r="L87" t="str">
        <f t="shared" si="3"/>
        <v>Fail</v>
      </c>
    </row>
    <row r="88" ht="15.75" hidden="1" customHeight="1">
      <c r="A88" t="s">
        <v>386</v>
      </c>
      <c r="B88" t="str">
        <f t="shared" si="1"/>
        <v>21858</v>
      </c>
      <c r="C88" t="str">
        <f t="shared" si="2"/>
        <v>2011</v>
      </c>
      <c r="D88" s="44" t="str">
        <f t="shared" si="4"/>
        <v>Com</v>
      </c>
      <c r="E88">
        <v>44.0</v>
      </c>
      <c r="F88">
        <v>66.0</v>
      </c>
      <c r="G88">
        <v>74.0</v>
      </c>
      <c r="H88">
        <v>35.0</v>
      </c>
      <c r="I88">
        <v>36.0</v>
      </c>
      <c r="J88" t="str">
        <f t="shared" si="5"/>
        <v>Fail</v>
      </c>
      <c r="L88" t="str">
        <f t="shared" si="3"/>
        <v>Fail</v>
      </c>
    </row>
    <row r="89" ht="15.75" customHeight="1">
      <c r="A89" t="s">
        <v>387</v>
      </c>
      <c r="B89" t="str">
        <f t="shared" si="1"/>
        <v>96236</v>
      </c>
      <c r="C89" t="str">
        <f t="shared" si="2"/>
        <v>2010</v>
      </c>
      <c r="D89" s="44" t="str">
        <f t="shared" si="4"/>
        <v>Sc-Pure</v>
      </c>
      <c r="E89">
        <v>68.0</v>
      </c>
      <c r="F89">
        <v>93.0</v>
      </c>
      <c r="G89">
        <v>69.0</v>
      </c>
      <c r="H89">
        <v>64.0</v>
      </c>
      <c r="I89">
        <v>92.0</v>
      </c>
      <c r="J89" t="str">
        <f t="shared" si="5"/>
        <v>Pass</v>
      </c>
      <c r="L89" t="str">
        <f t="shared" si="3"/>
        <v>Pass</v>
      </c>
    </row>
    <row r="90" ht="15.75" customHeight="1"/>
    <row r="91" ht="15.75" customHeight="1">
      <c r="A91" s="18" t="s">
        <v>388</v>
      </c>
      <c r="B91">
        <v>2010.0</v>
      </c>
      <c r="C91">
        <v>2011.0</v>
      </c>
      <c r="D91">
        <v>2012.0</v>
      </c>
      <c r="G91" s="45" t="s">
        <v>111</v>
      </c>
      <c r="H91" s="46" t="s">
        <v>389</v>
      </c>
    </row>
    <row r="92" ht="15.75" customHeight="1">
      <c r="A92" s="44" t="s">
        <v>389</v>
      </c>
      <c r="B92" t="str">
        <f t="shared" ref="B92:D92" si="6">COUNTIFS($C$3:$C$89,B$91,$D$3:$D$89,$A92,$J$3:$J$89,"Pass")</f>
        <v>2</v>
      </c>
      <c r="C92" t="str">
        <f t="shared" si="6"/>
        <v>13</v>
      </c>
      <c r="D92" t="str">
        <f t="shared" si="6"/>
        <v>4</v>
      </c>
      <c r="G92" s="47" t="s">
        <v>186</v>
      </c>
      <c r="H92" s="48" t="s">
        <v>390</v>
      </c>
    </row>
    <row r="93" ht="15.75" customHeight="1">
      <c r="A93" s="44" t="s">
        <v>390</v>
      </c>
      <c r="B93" t="str">
        <f t="shared" ref="B93:D93" si="7">COUNTIFS($C$3:$C$89, B$91, $D$3:$D$89, $A93, $J$3:$J$89, "Pass")</f>
        <v>7</v>
      </c>
      <c r="C93" t="str">
        <f t="shared" si="7"/>
        <v>5</v>
      </c>
      <c r="D93" t="str">
        <f t="shared" si="7"/>
        <v>4</v>
      </c>
      <c r="G93" s="47" t="s">
        <v>391</v>
      </c>
      <c r="H93" s="48" t="s">
        <v>392</v>
      </c>
    </row>
    <row r="94" ht="15.75" customHeight="1">
      <c r="A94" s="44" t="s">
        <v>393</v>
      </c>
      <c r="B94" t="str">
        <f t="shared" ref="B94:D94" si="8">COUNTIFS($C$3:$C$89, B$91, $D$3:$D$89, $A94, $J$3:$J$89, "Pass")</f>
        <v>6</v>
      </c>
      <c r="C94" t="str">
        <f t="shared" si="8"/>
        <v>5</v>
      </c>
      <c r="D94" t="str">
        <f t="shared" si="8"/>
        <v>8</v>
      </c>
      <c r="G94" s="49" t="s">
        <v>394</v>
      </c>
      <c r="H94" s="50" t="s">
        <v>393</v>
      </c>
    </row>
    <row r="95" ht="15.75" customHeight="1">
      <c r="A95" s="44" t="s">
        <v>392</v>
      </c>
      <c r="B95" t="str">
        <f t="shared" ref="B95:D95" si="9">COUNTIFS($C$3:$C$89, B$91, $D$3:$D$89, $A95, $J$3:$J$89, "Pass")</f>
        <v>5</v>
      </c>
      <c r="C95" t="str">
        <f t="shared" si="9"/>
        <v>6</v>
      </c>
      <c r="D95" t="str">
        <f t="shared" si="9"/>
        <v>9</v>
      </c>
    </row>
    <row r="96" ht="15.75" customHeight="1"/>
    <row r="97" ht="15.75" customHeight="1">
      <c r="A97" t="s">
        <v>395</v>
      </c>
      <c r="O97" t="s">
        <v>395</v>
      </c>
    </row>
    <row r="98" ht="15.75" customHeight="1">
      <c r="A98" t="str">
        <f>DAVERAGE(marks_db,H98,G98:H99)</f>
        <v>74.95</v>
      </c>
      <c r="B98" s="51" t="s">
        <v>389</v>
      </c>
      <c r="C98" s="51" t="s">
        <v>390</v>
      </c>
      <c r="D98" s="51" t="s">
        <v>392</v>
      </c>
      <c r="E98" s="51" t="s">
        <v>393</v>
      </c>
      <c r="G98" t="s">
        <v>293</v>
      </c>
      <c r="H98" t="s">
        <v>294</v>
      </c>
      <c r="O98" t="str">
        <f>DAVERAGE(marks_db,V98,U98:V99)</f>
        <v>64.65217391</v>
      </c>
      <c r="P98" s="51" t="s">
        <v>389</v>
      </c>
      <c r="Q98" s="51" t="s">
        <v>390</v>
      </c>
      <c r="R98" s="51" t="s">
        <v>392</v>
      </c>
      <c r="S98" s="51" t="s">
        <v>393</v>
      </c>
      <c r="U98" t="s">
        <v>293</v>
      </c>
      <c r="V98" t="s">
        <v>294</v>
      </c>
    </row>
    <row r="99" ht="15.75" customHeight="1">
      <c r="A99" s="51" t="s">
        <v>294</v>
      </c>
      <c r="B99" s="13">
        <v>74.95</v>
      </c>
      <c r="C99" s="13">
        <v>65.10526315789474</v>
      </c>
      <c r="D99" s="13">
        <v>64.65217391304348</v>
      </c>
      <c r="E99" s="13">
        <v>68.36842105263158</v>
      </c>
      <c r="G99" t="s">
        <v>389</v>
      </c>
      <c r="H99" t="s">
        <v>396</v>
      </c>
      <c r="O99" s="51" t="s">
        <v>294</v>
      </c>
      <c r="P99" s="13">
        <v>74.95</v>
      </c>
      <c r="Q99" s="13">
        <v>65.10526315789474</v>
      </c>
      <c r="R99" s="13">
        <v>64.65217391304348</v>
      </c>
      <c r="S99" s="13">
        <v>68.36842105263158</v>
      </c>
      <c r="U99" t="s">
        <v>392</v>
      </c>
      <c r="V99" t="s">
        <v>396</v>
      </c>
      <c r="X99" s="24" t="s">
        <v>397</v>
      </c>
      <c r="Y99" s="24"/>
      <c r="Z99" s="24"/>
    </row>
    <row r="100" ht="15.75" customHeight="1">
      <c r="A100" s="51" t="s">
        <v>295</v>
      </c>
      <c r="B100" s="13">
        <v>66.0952380952381</v>
      </c>
      <c r="C100" s="13">
        <v>70.8125</v>
      </c>
      <c r="D100" s="13">
        <v>71.25</v>
      </c>
      <c r="E100" s="13">
        <v>65.4</v>
      </c>
      <c r="O100" s="51" t="s">
        <v>295</v>
      </c>
      <c r="P100" s="13">
        <v>66.0952380952381</v>
      </c>
      <c r="Q100" s="13">
        <v>70.8125</v>
      </c>
      <c r="R100" s="13">
        <v>71.25</v>
      </c>
      <c r="S100" s="13">
        <v>65.4</v>
      </c>
      <c r="X100" s="24" t="s">
        <v>398</v>
      </c>
      <c r="Y100" s="24"/>
      <c r="Z100" s="24"/>
    </row>
    <row r="101" ht="15.75" customHeight="1">
      <c r="A101" s="51" t="s">
        <v>296</v>
      </c>
      <c r="B101" s="13">
        <v>70.31818181818181</v>
      </c>
      <c r="C101" s="13">
        <v>69.11111111111111</v>
      </c>
      <c r="D101" s="13">
        <v>69.19047619047619</v>
      </c>
      <c r="E101" s="13">
        <v>75.52380952380952</v>
      </c>
      <c r="O101" s="51" t="s">
        <v>296</v>
      </c>
      <c r="P101" s="13">
        <v>70.31818181818181</v>
      </c>
      <c r="Q101" s="13">
        <v>69.11111111111111</v>
      </c>
      <c r="R101" s="13">
        <v>69.19047619047619</v>
      </c>
      <c r="S101" s="13">
        <v>75.52380952380952</v>
      </c>
    </row>
    <row r="102" ht="15.75" customHeight="1">
      <c r="A102" s="51" t="s">
        <v>297</v>
      </c>
      <c r="B102" s="13">
        <v>69.73913043478261</v>
      </c>
      <c r="C102" s="13">
        <v>73.72222222222223</v>
      </c>
      <c r="D102" s="13">
        <v>69.22727272727273</v>
      </c>
      <c r="E102" s="13">
        <v>70.57894736842105</v>
      </c>
      <c r="O102" s="51" t="s">
        <v>297</v>
      </c>
      <c r="P102" s="13">
        <v>69.73913043478261</v>
      </c>
      <c r="Q102" s="13">
        <v>73.72222222222223</v>
      </c>
      <c r="R102" s="13">
        <v>69.22727272727273</v>
      </c>
      <c r="S102" s="13">
        <v>70.57894736842105</v>
      </c>
    </row>
    <row r="103" ht="15.75" customHeight="1">
      <c r="A103" s="51" t="s">
        <v>298</v>
      </c>
      <c r="B103" s="13">
        <v>76.15</v>
      </c>
      <c r="C103" s="13">
        <v>63.06666666666667</v>
      </c>
      <c r="D103" s="13">
        <v>78.47368421052632</v>
      </c>
      <c r="E103" s="13">
        <v>68.23809523809524</v>
      </c>
      <c r="O103" s="51" t="s">
        <v>298</v>
      </c>
      <c r="P103" s="13">
        <v>76.15</v>
      </c>
      <c r="Q103" s="13">
        <v>63.06666666666667</v>
      </c>
      <c r="R103" s="13">
        <v>78.47368421052632</v>
      </c>
      <c r="S103" s="13">
        <v>68.23809523809524</v>
      </c>
    </row>
    <row r="104" ht="15.75" customHeight="1"/>
    <row r="105" ht="15.75" customHeight="1">
      <c r="A105" t="s">
        <v>399</v>
      </c>
      <c r="B105" t="str">
        <f t="array" ref="B105">INDEX(B3:B89,MATCH(DMAX(marks_db,E2,D105:E106),E3:E89,0))</f>
        <v>68041</v>
      </c>
      <c r="D105" t="s">
        <v>293</v>
      </c>
      <c r="E105" t="s">
        <v>292</v>
      </c>
      <c r="G105" t="s">
        <v>400</v>
      </c>
    </row>
    <row r="106" ht="15.75" customHeight="1">
      <c r="D106" t="s">
        <v>389</v>
      </c>
      <c r="E106">
        <v>2010.0</v>
      </c>
      <c r="G106" t="str">
        <f>(MAX(E3:I3)-MIN(E3:I3))&gt;30</f>
        <v>TRUE</v>
      </c>
      <c r="H106" t="str">
        <f>DCOUNT(marks_db,,G105:G106)</f>
        <v>#VALUE!</v>
      </c>
      <c r="I106" t="str">
        <f>DCOUNT(A2:J89,, G105:G106)</f>
        <v>#VALUE!</v>
      </c>
    </row>
    <row r="107" ht="15.75" customHeight="1"/>
    <row r="108" ht="15.75" customHeight="1"/>
    <row r="109" ht="15.75" customHeight="1">
      <c r="B109" s="24" t="str">
        <f t="array" ref="B109">INDEX(B3:B89, MATCH(DMAX(A2:J89, E2, D105:E106), E3:E89, 0))</f>
        <v>68041</v>
      </c>
      <c r="C109" s="24"/>
      <c r="D109" s="24" t="s">
        <v>401</v>
      </c>
      <c r="E109" s="24"/>
      <c r="F109" s="24"/>
      <c r="G109" s="24"/>
      <c r="H109" s="24"/>
      <c r="I109" s="24"/>
      <c r="J109" s="24"/>
    </row>
    <row r="110" ht="15.75" customHeight="1">
      <c r="B110" s="24"/>
      <c r="C110" s="24"/>
      <c r="D110" s="24" t="s">
        <v>402</v>
      </c>
      <c r="E110" s="24"/>
      <c r="F110" s="24"/>
      <c r="G110" s="24"/>
      <c r="H110" s="24"/>
      <c r="I110" s="24"/>
      <c r="J110" s="24"/>
    </row>
    <row r="111" ht="15.75" customHeight="1">
      <c r="B111" s="24"/>
      <c r="C111" s="24"/>
      <c r="D111" s="24" t="s">
        <v>403</v>
      </c>
      <c r="E111" s="24"/>
      <c r="F111" s="24"/>
      <c r="G111" s="24"/>
      <c r="H111" s="24"/>
      <c r="I111" s="24"/>
      <c r="J111" s="24"/>
    </row>
  </sheetData>
  <conditionalFormatting sqref="A3:A89">
    <cfRule type="expression" dxfId="2" priority="1">
      <formula>AVERAGE(E3:I3)&gt;=80</formula>
    </cfRule>
  </conditionalFormatting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7.29"/>
    <col customWidth="1" min="3" max="3" width="16.43"/>
    <col customWidth="1" min="4" max="4" width="18.0"/>
    <col customWidth="1" min="5" max="5" width="6.57"/>
    <col customWidth="1" min="6" max="6" width="6.71"/>
    <col customWidth="1" min="7" max="7" width="8.14"/>
    <col customWidth="1" min="8" max="8" width="30.14"/>
    <col customWidth="1" min="9" max="9" width="8.0"/>
    <col customWidth="1" min="10" max="17" width="9.14"/>
  </cols>
  <sheetData>
    <row r="1" ht="12.75" customHeight="1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ht="12.75" customHeight="1">
      <c r="A2" s="52"/>
      <c r="B2" s="53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ht="12.75" customHeight="1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</row>
    <row r="4" ht="12.75" customHeight="1">
      <c r="A4" s="54" t="s">
        <v>404</v>
      </c>
      <c r="B4" s="54" t="s">
        <v>220</v>
      </c>
      <c r="C4" s="54" t="s">
        <v>405</v>
      </c>
      <c r="D4" s="54" t="s">
        <v>406</v>
      </c>
      <c r="E4" s="54" t="s">
        <v>154</v>
      </c>
      <c r="F4" s="54" t="s">
        <v>407</v>
      </c>
      <c r="G4" s="54" t="s">
        <v>408</v>
      </c>
      <c r="H4" s="54" t="s">
        <v>409</v>
      </c>
      <c r="I4" s="54" t="s">
        <v>410</v>
      </c>
      <c r="J4" s="54" t="s">
        <v>411</v>
      </c>
      <c r="K4" s="54" t="s">
        <v>412</v>
      </c>
      <c r="L4" s="54" t="s">
        <v>413</v>
      </c>
      <c r="M4" s="54" t="s">
        <v>3</v>
      </c>
      <c r="N4" s="54" t="s">
        <v>414</v>
      </c>
      <c r="O4" s="54" t="s">
        <v>415</v>
      </c>
      <c r="P4" s="54" t="s">
        <v>416</v>
      </c>
      <c r="Q4" s="54" t="s">
        <v>417</v>
      </c>
    </row>
    <row r="5" ht="12.75" customHeight="1">
      <c r="A5" s="55">
        <v>86.0</v>
      </c>
      <c r="B5" s="56" t="s">
        <v>418</v>
      </c>
      <c r="C5" s="56" t="s">
        <v>419</v>
      </c>
      <c r="D5" s="56" t="s">
        <v>420</v>
      </c>
      <c r="E5" s="57">
        <v>15.34</v>
      </c>
      <c r="F5" s="57">
        <v>2.69</v>
      </c>
      <c r="G5" s="57">
        <v>269.94</v>
      </c>
      <c r="H5" s="57">
        <v>36.51</v>
      </c>
      <c r="I5" s="52" t="str">
        <f t="shared" ref="I5:I104" si="2">IF(E5 &gt;=$N$5,1,0)</f>
        <v>0</v>
      </c>
      <c r="J5" s="52" t="str">
        <f t="shared" ref="J5:J104" si="3">IF(F5 &gt;=$O$5,1,0)</f>
        <v>0</v>
      </c>
      <c r="K5" s="52" t="str">
        <f t="shared" ref="K5:K104" si="4">IF(G5 &gt;=$P$5,1,0)</f>
        <v>0</v>
      </c>
      <c r="L5" s="52" t="str">
        <f t="shared" ref="L5:L104" si="5">IF(H5 &gt;=$Q$5,1,0)</f>
        <v>0</v>
      </c>
      <c r="M5" s="52" t="str">
        <f t="shared" ref="M5:M104" si="6">SUM(I5:L5)</f>
        <v>0</v>
      </c>
      <c r="N5" s="52" t="str">
        <f t="shared" ref="N5:Q5" si="1">$B$118 * MAX(E5:E104)</f>
        <v>128.165</v>
      </c>
      <c r="O5" s="52" t="str">
        <f t="shared" si="1"/>
        <v>10.48</v>
      </c>
      <c r="P5" s="52" t="str">
        <f t="shared" si="1"/>
        <v>632.015</v>
      </c>
      <c r="Q5" s="52" t="str">
        <f t="shared" si="1"/>
        <v>164.27</v>
      </c>
    </row>
    <row r="6" ht="12.75" customHeight="1">
      <c r="A6" s="55">
        <v>99.0</v>
      </c>
      <c r="B6" s="56" t="s">
        <v>421</v>
      </c>
      <c r="C6" s="56" t="s">
        <v>422</v>
      </c>
      <c r="D6" s="56" t="s">
        <v>420</v>
      </c>
      <c r="E6" s="57">
        <v>19.62</v>
      </c>
      <c r="F6" s="57">
        <v>1.36</v>
      </c>
      <c r="G6" s="57">
        <v>368.37</v>
      </c>
      <c r="H6" s="57">
        <v>21.64</v>
      </c>
      <c r="I6" s="52" t="str">
        <f t="shared" si="2"/>
        <v>0</v>
      </c>
      <c r="J6" s="52" t="str">
        <f t="shared" si="3"/>
        <v>0</v>
      </c>
      <c r="K6" s="52" t="str">
        <f t="shared" si="4"/>
        <v>0</v>
      </c>
      <c r="L6" s="52" t="str">
        <f t="shared" si="5"/>
        <v>0</v>
      </c>
      <c r="M6" s="52" t="str">
        <f t="shared" si="6"/>
        <v>0</v>
      </c>
      <c r="N6" s="52"/>
      <c r="O6" s="52"/>
      <c r="P6" s="52"/>
      <c r="Q6" s="52"/>
    </row>
    <row r="7" ht="12.75" customHeight="1">
      <c r="A7" s="55">
        <v>79.0</v>
      </c>
      <c r="B7" s="56" t="s">
        <v>423</v>
      </c>
      <c r="C7" s="56" t="s">
        <v>424</v>
      </c>
      <c r="D7" s="56" t="s">
        <v>420</v>
      </c>
      <c r="E7" s="57">
        <v>18.82</v>
      </c>
      <c r="F7" s="57">
        <v>2.28</v>
      </c>
      <c r="G7" s="57">
        <v>305.01</v>
      </c>
      <c r="H7" s="57">
        <v>31.82</v>
      </c>
      <c r="I7" s="52" t="str">
        <f t="shared" si="2"/>
        <v>0</v>
      </c>
      <c r="J7" s="52" t="str">
        <f t="shared" si="3"/>
        <v>0</v>
      </c>
      <c r="K7" s="52" t="str">
        <f t="shared" si="4"/>
        <v>0</v>
      </c>
      <c r="L7" s="52" t="str">
        <f t="shared" si="5"/>
        <v>0</v>
      </c>
      <c r="M7" s="52" t="str">
        <f t="shared" si="6"/>
        <v>0</v>
      </c>
      <c r="N7" s="52"/>
      <c r="O7" s="52"/>
      <c r="P7" s="52"/>
      <c r="Q7" s="52"/>
    </row>
    <row r="8" ht="12.75" customHeight="1">
      <c r="A8" s="55">
        <v>68.0</v>
      </c>
      <c r="B8" s="56" t="s">
        <v>425</v>
      </c>
      <c r="C8" s="56" t="s">
        <v>426</v>
      </c>
      <c r="D8" s="56" t="s">
        <v>420</v>
      </c>
      <c r="E8" s="57">
        <v>31.77</v>
      </c>
      <c r="F8" s="57">
        <v>1.12</v>
      </c>
      <c r="G8" s="57">
        <v>531.01</v>
      </c>
      <c r="H8" s="57">
        <v>38.8</v>
      </c>
      <c r="I8" s="52" t="str">
        <f t="shared" si="2"/>
        <v>0</v>
      </c>
      <c r="J8" s="52" t="str">
        <f t="shared" si="3"/>
        <v>0</v>
      </c>
      <c r="K8" s="52" t="str">
        <f t="shared" si="4"/>
        <v>0</v>
      </c>
      <c r="L8" s="52" t="str">
        <f t="shared" si="5"/>
        <v>0</v>
      </c>
      <c r="M8" s="52" t="str">
        <f t="shared" si="6"/>
        <v>0</v>
      </c>
      <c r="N8" s="52"/>
      <c r="O8" s="52"/>
      <c r="P8" s="52"/>
      <c r="Q8" s="52"/>
    </row>
    <row r="9" ht="48.0" customHeight="1">
      <c r="A9" s="55">
        <v>54.0</v>
      </c>
      <c r="B9" s="56" t="s">
        <v>427</v>
      </c>
      <c r="C9" s="56" t="s">
        <v>426</v>
      </c>
      <c r="D9" s="56" t="s">
        <v>420</v>
      </c>
      <c r="E9" s="57">
        <v>35.52</v>
      </c>
      <c r="F9" s="57">
        <v>1.61</v>
      </c>
      <c r="G9" s="57">
        <v>526.54</v>
      </c>
      <c r="H9" s="57">
        <v>40.61</v>
      </c>
      <c r="I9" s="52" t="str">
        <f t="shared" si="2"/>
        <v>0</v>
      </c>
      <c r="J9" s="52" t="str">
        <f t="shared" si="3"/>
        <v>0</v>
      </c>
      <c r="K9" s="52" t="str">
        <f t="shared" si="4"/>
        <v>0</v>
      </c>
      <c r="L9" s="52" t="str">
        <f t="shared" si="5"/>
        <v>0</v>
      </c>
      <c r="M9" s="52" t="str">
        <f t="shared" si="6"/>
        <v>0</v>
      </c>
      <c r="N9" s="52"/>
      <c r="O9" s="52"/>
      <c r="P9" s="52"/>
      <c r="Q9" s="52"/>
    </row>
    <row r="10" ht="48.0" customHeight="1">
      <c r="A10" s="55">
        <v>18.0</v>
      </c>
      <c r="B10" s="56" t="s">
        <v>428</v>
      </c>
      <c r="C10" s="56" t="s">
        <v>426</v>
      </c>
      <c r="D10" s="56" t="s">
        <v>420</v>
      </c>
      <c r="E10" s="57">
        <v>47.74</v>
      </c>
      <c r="F10" s="57">
        <v>4.73</v>
      </c>
      <c r="G10" s="57">
        <v>745.09</v>
      </c>
      <c r="H10" s="57">
        <v>59.29</v>
      </c>
      <c r="I10" s="52" t="str">
        <f t="shared" si="2"/>
        <v>0</v>
      </c>
      <c r="J10" s="52" t="str">
        <f t="shared" si="3"/>
        <v>0</v>
      </c>
      <c r="K10" s="52" t="str">
        <f t="shared" si="4"/>
        <v>1</v>
      </c>
      <c r="L10" s="52" t="str">
        <f t="shared" si="5"/>
        <v>0</v>
      </c>
      <c r="M10" s="52" t="str">
        <f t="shared" si="6"/>
        <v>1</v>
      </c>
      <c r="N10" s="52"/>
      <c r="O10" s="52"/>
      <c r="P10" s="52"/>
      <c r="Q10" s="52"/>
    </row>
    <row r="11" ht="12.75" customHeight="1">
      <c r="A11" s="55">
        <v>92.0</v>
      </c>
      <c r="B11" s="56" t="s">
        <v>429</v>
      </c>
      <c r="C11" s="56" t="s">
        <v>430</v>
      </c>
      <c r="D11" s="56" t="s">
        <v>420</v>
      </c>
      <c r="E11" s="57">
        <v>16.53</v>
      </c>
      <c r="F11" s="57">
        <v>1.89</v>
      </c>
      <c r="G11" s="57">
        <v>223.6</v>
      </c>
      <c r="H11" s="57">
        <v>33.53</v>
      </c>
      <c r="I11" s="52" t="str">
        <f t="shared" si="2"/>
        <v>0</v>
      </c>
      <c r="J11" s="52" t="str">
        <f t="shared" si="3"/>
        <v>0</v>
      </c>
      <c r="K11" s="52" t="str">
        <f t="shared" si="4"/>
        <v>0</v>
      </c>
      <c r="L11" s="52" t="str">
        <f t="shared" si="5"/>
        <v>0</v>
      </c>
      <c r="M11" s="52" t="str">
        <f t="shared" si="6"/>
        <v>0</v>
      </c>
      <c r="N11" s="52"/>
      <c r="O11" s="52"/>
      <c r="P11" s="52"/>
      <c r="Q11" s="52"/>
    </row>
    <row r="12" ht="12.75" customHeight="1">
      <c r="A12" s="55">
        <v>48.0</v>
      </c>
      <c r="B12" s="56" t="s">
        <v>431</v>
      </c>
      <c r="C12" s="56" t="s">
        <v>432</v>
      </c>
      <c r="D12" s="56" t="s">
        <v>420</v>
      </c>
      <c r="E12" s="57">
        <v>23.64</v>
      </c>
      <c r="F12" s="57">
        <v>3.98</v>
      </c>
      <c r="G12" s="57">
        <v>704.95</v>
      </c>
      <c r="H12" s="57">
        <v>39.29</v>
      </c>
      <c r="I12" s="52" t="str">
        <f t="shared" si="2"/>
        <v>0</v>
      </c>
      <c r="J12" s="52" t="str">
        <f t="shared" si="3"/>
        <v>0</v>
      </c>
      <c r="K12" s="52" t="str">
        <f t="shared" si="4"/>
        <v>1</v>
      </c>
      <c r="L12" s="52" t="str">
        <f t="shared" si="5"/>
        <v>0</v>
      </c>
      <c r="M12" s="52" t="str">
        <f t="shared" si="6"/>
        <v>1</v>
      </c>
      <c r="N12" s="52"/>
      <c r="O12" s="52"/>
      <c r="P12" s="52"/>
      <c r="Q12" s="52"/>
    </row>
    <row r="13" ht="12.75" customHeight="1">
      <c r="A13" s="55">
        <v>57.0</v>
      </c>
      <c r="B13" s="56" t="s">
        <v>433</v>
      </c>
      <c r="C13" s="56" t="s">
        <v>434</v>
      </c>
      <c r="D13" s="56" t="s">
        <v>420</v>
      </c>
      <c r="E13" s="57">
        <v>24.1</v>
      </c>
      <c r="F13" s="57">
        <v>2.81</v>
      </c>
      <c r="G13" s="57">
        <v>288.8</v>
      </c>
      <c r="H13" s="57">
        <v>44.67</v>
      </c>
      <c r="I13" s="52" t="str">
        <f t="shared" si="2"/>
        <v>0</v>
      </c>
      <c r="J13" s="52" t="str">
        <f t="shared" si="3"/>
        <v>0</v>
      </c>
      <c r="K13" s="52" t="str">
        <f t="shared" si="4"/>
        <v>0</v>
      </c>
      <c r="L13" s="52" t="str">
        <f t="shared" si="5"/>
        <v>0</v>
      </c>
      <c r="M13" s="52" t="str">
        <f t="shared" si="6"/>
        <v>0</v>
      </c>
      <c r="N13" s="52"/>
      <c r="O13" s="52"/>
      <c r="P13" s="52"/>
      <c r="Q13" s="52"/>
    </row>
    <row r="14" ht="12.75" customHeight="1">
      <c r="A14" s="55">
        <v>39.0</v>
      </c>
      <c r="B14" s="56" t="s">
        <v>435</v>
      </c>
      <c r="C14" s="56" t="s">
        <v>434</v>
      </c>
      <c r="D14" s="56" t="s">
        <v>420</v>
      </c>
      <c r="E14" s="57">
        <v>28.7</v>
      </c>
      <c r="F14" s="57">
        <v>3.28</v>
      </c>
      <c r="G14" s="57">
        <v>442.24</v>
      </c>
      <c r="H14" s="57">
        <v>56.78</v>
      </c>
      <c r="I14" s="52" t="str">
        <f t="shared" si="2"/>
        <v>0</v>
      </c>
      <c r="J14" s="52" t="str">
        <f t="shared" si="3"/>
        <v>0</v>
      </c>
      <c r="K14" s="52" t="str">
        <f t="shared" si="4"/>
        <v>0</v>
      </c>
      <c r="L14" s="52" t="str">
        <f t="shared" si="5"/>
        <v>0</v>
      </c>
      <c r="M14" s="52" t="str">
        <f t="shared" si="6"/>
        <v>0</v>
      </c>
      <c r="N14" s="52"/>
      <c r="O14" s="52"/>
      <c r="P14" s="52"/>
      <c r="Q14" s="52"/>
    </row>
    <row r="15" ht="12.75" customHeight="1">
      <c r="A15" s="55">
        <v>47.0</v>
      </c>
      <c r="B15" s="56" t="s">
        <v>436</v>
      </c>
      <c r="C15" s="56" t="s">
        <v>437</v>
      </c>
      <c r="D15" s="56" t="s">
        <v>420</v>
      </c>
      <c r="E15" s="57">
        <v>24.48</v>
      </c>
      <c r="F15" s="57">
        <v>2.87</v>
      </c>
      <c r="G15" s="57">
        <v>406.99</v>
      </c>
      <c r="H15" s="57">
        <v>48.11</v>
      </c>
      <c r="I15" s="52" t="str">
        <f t="shared" si="2"/>
        <v>0</v>
      </c>
      <c r="J15" s="52" t="str">
        <f t="shared" si="3"/>
        <v>0</v>
      </c>
      <c r="K15" s="52" t="str">
        <f t="shared" si="4"/>
        <v>0</v>
      </c>
      <c r="L15" s="52" t="str">
        <f t="shared" si="5"/>
        <v>0</v>
      </c>
      <c r="M15" s="52" t="str">
        <f t="shared" si="6"/>
        <v>0</v>
      </c>
      <c r="N15" s="52"/>
      <c r="O15" s="52"/>
      <c r="P15" s="52"/>
      <c r="Q15" s="52"/>
    </row>
    <row r="16" ht="12.75" customHeight="1">
      <c r="A16" s="55">
        <v>36.0</v>
      </c>
      <c r="B16" s="56" t="s">
        <v>438</v>
      </c>
      <c r="C16" s="56" t="s">
        <v>437</v>
      </c>
      <c r="D16" s="56" t="s">
        <v>420</v>
      </c>
      <c r="E16" s="57">
        <v>32.68</v>
      </c>
      <c r="F16" s="57">
        <v>3.09</v>
      </c>
      <c r="G16" s="57">
        <v>571.76</v>
      </c>
      <c r="H16" s="57">
        <v>52.87</v>
      </c>
      <c r="I16" s="52" t="str">
        <f t="shared" si="2"/>
        <v>0</v>
      </c>
      <c r="J16" s="52" t="str">
        <f t="shared" si="3"/>
        <v>0</v>
      </c>
      <c r="K16" s="52" t="str">
        <f t="shared" si="4"/>
        <v>0</v>
      </c>
      <c r="L16" s="52" t="str">
        <f t="shared" si="5"/>
        <v>0</v>
      </c>
      <c r="M16" s="52" t="str">
        <f t="shared" si="6"/>
        <v>0</v>
      </c>
      <c r="N16" s="52"/>
      <c r="O16" s="52"/>
      <c r="P16" s="52"/>
      <c r="Q16" s="52"/>
    </row>
    <row r="17" ht="12.75" customHeight="1">
      <c r="A17" s="55">
        <v>27.0</v>
      </c>
      <c r="B17" s="56" t="s">
        <v>439</v>
      </c>
      <c r="C17" s="56" t="s">
        <v>437</v>
      </c>
      <c r="D17" s="56" t="s">
        <v>420</v>
      </c>
      <c r="E17" s="57">
        <v>33.69</v>
      </c>
      <c r="F17" s="57">
        <v>4.9</v>
      </c>
      <c r="G17" s="57">
        <v>791.54</v>
      </c>
      <c r="H17" s="57">
        <v>61.33</v>
      </c>
      <c r="I17" s="52" t="str">
        <f t="shared" si="2"/>
        <v>0</v>
      </c>
      <c r="J17" s="52" t="str">
        <f t="shared" si="3"/>
        <v>0</v>
      </c>
      <c r="K17" s="52" t="str">
        <f t="shared" si="4"/>
        <v>1</v>
      </c>
      <c r="L17" s="52" t="str">
        <f t="shared" si="5"/>
        <v>0</v>
      </c>
      <c r="M17" s="52" t="str">
        <f t="shared" si="6"/>
        <v>1</v>
      </c>
      <c r="N17" s="52"/>
      <c r="O17" s="52"/>
      <c r="P17" s="52"/>
      <c r="Q17" s="52"/>
    </row>
    <row r="18" ht="12.75" customHeight="1">
      <c r="A18" s="55">
        <v>19.0</v>
      </c>
      <c r="B18" s="56" t="s">
        <v>440</v>
      </c>
      <c r="C18" s="56" t="s">
        <v>437</v>
      </c>
      <c r="D18" s="56" t="s">
        <v>420</v>
      </c>
      <c r="E18" s="57">
        <v>35.65</v>
      </c>
      <c r="F18" s="57">
        <v>4.95</v>
      </c>
      <c r="G18" s="57">
        <v>663.45</v>
      </c>
      <c r="H18" s="57">
        <v>90.21</v>
      </c>
      <c r="I18" s="52" t="str">
        <f t="shared" si="2"/>
        <v>0</v>
      </c>
      <c r="J18" s="52" t="str">
        <f t="shared" si="3"/>
        <v>0</v>
      </c>
      <c r="K18" s="52" t="str">
        <f t="shared" si="4"/>
        <v>1</v>
      </c>
      <c r="L18" s="52" t="str">
        <f t="shared" si="5"/>
        <v>0</v>
      </c>
      <c r="M18" s="52" t="str">
        <f t="shared" si="6"/>
        <v>1</v>
      </c>
      <c r="N18" s="52"/>
      <c r="O18" s="52"/>
      <c r="P18" s="52"/>
      <c r="Q18" s="52"/>
    </row>
    <row r="19" ht="12.75" customHeight="1">
      <c r="A19" s="55">
        <v>7.0</v>
      </c>
      <c r="B19" s="56" t="s">
        <v>441</v>
      </c>
      <c r="C19" s="56" t="s">
        <v>437</v>
      </c>
      <c r="D19" s="56" t="s">
        <v>420</v>
      </c>
      <c r="E19" s="57">
        <v>44.33</v>
      </c>
      <c r="F19" s="57">
        <v>6.66</v>
      </c>
      <c r="G19" s="57">
        <v>757.6</v>
      </c>
      <c r="H19" s="57">
        <v>177.96</v>
      </c>
      <c r="I19" s="52" t="str">
        <f t="shared" si="2"/>
        <v>0</v>
      </c>
      <c r="J19" s="52" t="str">
        <f t="shared" si="3"/>
        <v>0</v>
      </c>
      <c r="K19" s="52" t="str">
        <f t="shared" si="4"/>
        <v>1</v>
      </c>
      <c r="L19" s="52" t="str">
        <f t="shared" si="5"/>
        <v>1</v>
      </c>
      <c r="M19" s="52" t="str">
        <f t="shared" si="6"/>
        <v>2</v>
      </c>
      <c r="N19" s="52"/>
      <c r="O19" s="52"/>
      <c r="P19" s="52"/>
      <c r="Q19" s="52"/>
    </row>
    <row r="20" ht="12.75" customHeight="1">
      <c r="A20" s="55">
        <v>67.0</v>
      </c>
      <c r="B20" s="56" t="s">
        <v>442</v>
      </c>
      <c r="C20" s="56" t="s">
        <v>443</v>
      </c>
      <c r="D20" s="56" t="s">
        <v>420</v>
      </c>
      <c r="E20" s="57">
        <v>18.01</v>
      </c>
      <c r="F20" s="57">
        <v>3.88</v>
      </c>
      <c r="G20" s="57">
        <v>275.18</v>
      </c>
      <c r="H20" s="57">
        <v>39.69</v>
      </c>
      <c r="I20" s="52" t="str">
        <f t="shared" si="2"/>
        <v>0</v>
      </c>
      <c r="J20" s="52" t="str">
        <f t="shared" si="3"/>
        <v>0</v>
      </c>
      <c r="K20" s="52" t="str">
        <f t="shared" si="4"/>
        <v>0</v>
      </c>
      <c r="L20" s="52" t="str">
        <f t="shared" si="5"/>
        <v>0</v>
      </c>
      <c r="M20" s="52" t="str">
        <f t="shared" si="6"/>
        <v>0</v>
      </c>
      <c r="N20" s="52"/>
      <c r="O20" s="52"/>
      <c r="P20" s="52"/>
      <c r="Q20" s="52"/>
    </row>
    <row r="21" ht="12.75" customHeight="1">
      <c r="A21" s="55">
        <v>90.0</v>
      </c>
      <c r="B21" s="56" t="s">
        <v>444</v>
      </c>
      <c r="C21" s="56" t="s">
        <v>443</v>
      </c>
      <c r="D21" s="56" t="s">
        <v>420</v>
      </c>
      <c r="E21" s="57">
        <v>14.22</v>
      </c>
      <c r="F21" s="57">
        <v>2.13</v>
      </c>
      <c r="G21" s="57">
        <v>196.4</v>
      </c>
      <c r="H21" s="57">
        <v>47.19</v>
      </c>
      <c r="I21" s="52" t="str">
        <f t="shared" si="2"/>
        <v>0</v>
      </c>
      <c r="J21" s="52" t="str">
        <f t="shared" si="3"/>
        <v>0</v>
      </c>
      <c r="K21" s="52" t="str">
        <f t="shared" si="4"/>
        <v>0</v>
      </c>
      <c r="L21" s="52" t="str">
        <f t="shared" si="5"/>
        <v>0</v>
      </c>
      <c r="M21" s="52" t="str">
        <f t="shared" si="6"/>
        <v>0</v>
      </c>
      <c r="N21" s="52"/>
      <c r="O21" s="52"/>
      <c r="P21" s="52"/>
      <c r="Q21" s="52"/>
    </row>
    <row r="22" ht="12.75" customHeight="1">
      <c r="A22" s="55">
        <v>77.0</v>
      </c>
      <c r="B22" s="56" t="s">
        <v>445</v>
      </c>
      <c r="C22" s="56" t="s">
        <v>443</v>
      </c>
      <c r="D22" s="56" t="s">
        <v>420</v>
      </c>
      <c r="E22" s="57">
        <v>14.57</v>
      </c>
      <c r="F22" s="57">
        <v>3.73</v>
      </c>
      <c r="G22" s="57">
        <v>189.29</v>
      </c>
      <c r="H22" s="57">
        <v>52.88</v>
      </c>
      <c r="I22" s="52" t="str">
        <f t="shared" si="2"/>
        <v>0</v>
      </c>
      <c r="J22" s="52" t="str">
        <f t="shared" si="3"/>
        <v>0</v>
      </c>
      <c r="K22" s="52" t="str">
        <f t="shared" si="4"/>
        <v>0</v>
      </c>
      <c r="L22" s="52" t="str">
        <f t="shared" si="5"/>
        <v>0</v>
      </c>
      <c r="M22" s="52" t="str">
        <f t="shared" si="6"/>
        <v>0</v>
      </c>
      <c r="N22" s="52"/>
      <c r="O22" s="52"/>
      <c r="P22" s="52"/>
      <c r="Q22" s="52"/>
    </row>
    <row r="23" ht="12.75" customHeight="1">
      <c r="A23" s="55">
        <v>52.0</v>
      </c>
      <c r="B23" s="56" t="s">
        <v>446</v>
      </c>
      <c r="C23" s="56" t="s">
        <v>443</v>
      </c>
      <c r="D23" s="56" t="s">
        <v>420</v>
      </c>
      <c r="E23" s="57">
        <v>21.04</v>
      </c>
      <c r="F23" s="57">
        <v>3.4</v>
      </c>
      <c r="G23" s="57">
        <v>290.01</v>
      </c>
      <c r="H23" s="57">
        <v>58.38</v>
      </c>
      <c r="I23" s="52" t="str">
        <f t="shared" si="2"/>
        <v>0</v>
      </c>
      <c r="J23" s="52" t="str">
        <f t="shared" si="3"/>
        <v>0</v>
      </c>
      <c r="K23" s="52" t="str">
        <f t="shared" si="4"/>
        <v>0</v>
      </c>
      <c r="L23" s="52" t="str">
        <f t="shared" si="5"/>
        <v>0</v>
      </c>
      <c r="M23" s="52" t="str">
        <f t="shared" si="6"/>
        <v>0</v>
      </c>
      <c r="N23" s="52"/>
      <c r="O23" s="52"/>
      <c r="P23" s="52"/>
      <c r="Q23" s="52"/>
    </row>
    <row r="24" ht="12.75" customHeight="1">
      <c r="A24" s="55">
        <v>41.0</v>
      </c>
      <c r="B24" s="56" t="s">
        <v>447</v>
      </c>
      <c r="C24" s="56" t="s">
        <v>443</v>
      </c>
      <c r="D24" s="56" t="s">
        <v>420</v>
      </c>
      <c r="E24" s="57">
        <v>24.47</v>
      </c>
      <c r="F24" s="57">
        <v>4.25</v>
      </c>
      <c r="G24" s="57">
        <v>400.87</v>
      </c>
      <c r="H24" s="57">
        <v>62.35</v>
      </c>
      <c r="I24" s="52" t="str">
        <f t="shared" si="2"/>
        <v>0</v>
      </c>
      <c r="J24" s="52" t="str">
        <f t="shared" si="3"/>
        <v>0</v>
      </c>
      <c r="K24" s="52" t="str">
        <f t="shared" si="4"/>
        <v>0</v>
      </c>
      <c r="L24" s="52" t="str">
        <f t="shared" si="5"/>
        <v>0</v>
      </c>
      <c r="M24" s="52" t="str">
        <f t="shared" si="6"/>
        <v>0</v>
      </c>
      <c r="N24" s="52"/>
      <c r="O24" s="52"/>
      <c r="P24" s="52"/>
      <c r="Q24" s="52"/>
    </row>
    <row r="25" ht="12.75" customHeight="1">
      <c r="A25" s="55">
        <v>15.0</v>
      </c>
      <c r="B25" s="56" t="s">
        <v>448</v>
      </c>
      <c r="C25" s="56" t="s">
        <v>443</v>
      </c>
      <c r="D25" s="56" t="s">
        <v>420</v>
      </c>
      <c r="E25" s="57">
        <v>44.39</v>
      </c>
      <c r="F25" s="57">
        <v>4.47</v>
      </c>
      <c r="G25" s="57">
        <v>792.7</v>
      </c>
      <c r="H25" s="57">
        <v>81.94</v>
      </c>
      <c r="I25" s="52" t="str">
        <f t="shared" si="2"/>
        <v>0</v>
      </c>
      <c r="J25" s="52" t="str">
        <f t="shared" si="3"/>
        <v>0</v>
      </c>
      <c r="K25" s="52" t="str">
        <f t="shared" si="4"/>
        <v>1</v>
      </c>
      <c r="L25" s="52" t="str">
        <f t="shared" si="5"/>
        <v>0</v>
      </c>
      <c r="M25" s="52" t="str">
        <f t="shared" si="6"/>
        <v>1</v>
      </c>
      <c r="N25" s="52"/>
      <c r="O25" s="52"/>
      <c r="P25" s="52"/>
      <c r="Q25" s="52"/>
    </row>
    <row r="26" ht="12.75" customHeight="1">
      <c r="A26" s="55">
        <v>25.0</v>
      </c>
      <c r="B26" s="56" t="s">
        <v>449</v>
      </c>
      <c r="C26" s="56" t="s">
        <v>443</v>
      </c>
      <c r="D26" s="56" t="s">
        <v>420</v>
      </c>
      <c r="E26" s="57">
        <v>31.8</v>
      </c>
      <c r="F26" s="57">
        <v>6.2</v>
      </c>
      <c r="G26" s="57">
        <v>387.8</v>
      </c>
      <c r="H26" s="57">
        <v>97.53</v>
      </c>
      <c r="I26" s="52" t="str">
        <f t="shared" si="2"/>
        <v>0</v>
      </c>
      <c r="J26" s="52" t="str">
        <f t="shared" si="3"/>
        <v>0</v>
      </c>
      <c r="K26" s="52" t="str">
        <f t="shared" si="4"/>
        <v>0</v>
      </c>
      <c r="L26" s="52" t="str">
        <f t="shared" si="5"/>
        <v>0</v>
      </c>
      <c r="M26" s="52" t="str">
        <f t="shared" si="6"/>
        <v>0</v>
      </c>
      <c r="N26" s="52"/>
      <c r="O26" s="52"/>
      <c r="P26" s="52"/>
      <c r="Q26" s="52"/>
    </row>
    <row r="27" ht="12.75" customHeight="1">
      <c r="A27" s="55">
        <v>6.0</v>
      </c>
      <c r="B27" s="56" t="s">
        <v>450</v>
      </c>
      <c r="C27" s="56" t="s">
        <v>443</v>
      </c>
      <c r="D27" s="56" t="s">
        <v>420</v>
      </c>
      <c r="E27" s="57">
        <v>49.01</v>
      </c>
      <c r="F27" s="57">
        <v>10.81</v>
      </c>
      <c r="G27" s="57">
        <v>736.45</v>
      </c>
      <c r="H27" s="57">
        <v>117.55</v>
      </c>
      <c r="I27" s="52" t="str">
        <f t="shared" si="2"/>
        <v>0</v>
      </c>
      <c r="J27" s="52" t="str">
        <f t="shared" si="3"/>
        <v>1</v>
      </c>
      <c r="K27" s="52" t="str">
        <f t="shared" si="4"/>
        <v>1</v>
      </c>
      <c r="L27" s="52" t="str">
        <f t="shared" si="5"/>
        <v>0</v>
      </c>
      <c r="M27" s="52" t="str">
        <f t="shared" si="6"/>
        <v>2</v>
      </c>
      <c r="N27" s="52"/>
      <c r="O27" s="52"/>
      <c r="P27" s="52"/>
      <c r="Q27" s="52"/>
    </row>
    <row r="28" ht="12.75" customHeight="1">
      <c r="A28" s="55">
        <v>1.0</v>
      </c>
      <c r="B28" s="56" t="s">
        <v>451</v>
      </c>
      <c r="C28" s="56" t="s">
        <v>443</v>
      </c>
      <c r="D28" s="56" t="s">
        <v>420</v>
      </c>
      <c r="E28" s="57">
        <v>94.71</v>
      </c>
      <c r="F28" s="57">
        <v>17.85</v>
      </c>
      <c r="G28" s="58">
        <v>1264.03</v>
      </c>
      <c r="H28" s="57">
        <v>255.3</v>
      </c>
      <c r="I28" s="52" t="str">
        <f t="shared" si="2"/>
        <v>0</v>
      </c>
      <c r="J28" s="52" t="str">
        <f t="shared" si="3"/>
        <v>1</v>
      </c>
      <c r="K28" s="52" t="str">
        <f t="shared" si="4"/>
        <v>1</v>
      </c>
      <c r="L28" s="52" t="str">
        <f t="shared" si="5"/>
        <v>1</v>
      </c>
      <c r="M28" s="52" t="str">
        <f t="shared" si="6"/>
        <v>3</v>
      </c>
      <c r="N28" s="52"/>
      <c r="O28" s="52"/>
      <c r="P28" s="52"/>
      <c r="Q28" s="52"/>
    </row>
    <row r="29" ht="12.75" customHeight="1">
      <c r="A29" s="55">
        <v>97.0</v>
      </c>
      <c r="B29" s="56" t="s">
        <v>452</v>
      </c>
      <c r="C29" s="56" t="s">
        <v>443</v>
      </c>
      <c r="D29" s="56" t="s">
        <v>453</v>
      </c>
      <c r="E29" s="57">
        <v>32.63</v>
      </c>
      <c r="F29" s="57">
        <v>1.74</v>
      </c>
      <c r="G29" s="57">
        <v>41.89</v>
      </c>
      <c r="H29" s="57">
        <v>39.85</v>
      </c>
      <c r="I29" s="52" t="str">
        <f t="shared" si="2"/>
        <v>0</v>
      </c>
      <c r="J29" s="52" t="str">
        <f t="shared" si="3"/>
        <v>0</v>
      </c>
      <c r="K29" s="52" t="str">
        <f t="shared" si="4"/>
        <v>0</v>
      </c>
      <c r="L29" s="52" t="str">
        <f t="shared" si="5"/>
        <v>0</v>
      </c>
      <c r="M29" s="52" t="str">
        <f t="shared" si="6"/>
        <v>0</v>
      </c>
      <c r="N29" s="52"/>
      <c r="O29" s="52"/>
      <c r="P29" s="52"/>
      <c r="Q29" s="52"/>
    </row>
    <row r="30" ht="12.75" customHeight="1">
      <c r="A30" s="55">
        <v>76.0</v>
      </c>
      <c r="B30" s="56" t="s">
        <v>454</v>
      </c>
      <c r="C30" s="56" t="s">
        <v>455</v>
      </c>
      <c r="D30" s="56" t="s">
        <v>456</v>
      </c>
      <c r="E30" s="57">
        <v>37.57</v>
      </c>
      <c r="F30" s="57">
        <v>1.19</v>
      </c>
      <c r="G30" s="57">
        <v>62.8</v>
      </c>
      <c r="H30" s="57">
        <v>58.41</v>
      </c>
      <c r="I30" s="52" t="str">
        <f t="shared" si="2"/>
        <v>0</v>
      </c>
      <c r="J30" s="52" t="str">
        <f t="shared" si="3"/>
        <v>0</v>
      </c>
      <c r="K30" s="52" t="str">
        <f t="shared" si="4"/>
        <v>0</v>
      </c>
      <c r="L30" s="52" t="str">
        <f t="shared" si="5"/>
        <v>0</v>
      </c>
      <c r="M30" s="52" t="str">
        <f t="shared" si="6"/>
        <v>0</v>
      </c>
      <c r="N30" s="52"/>
      <c r="O30" s="52"/>
      <c r="P30" s="52"/>
      <c r="Q30" s="52"/>
    </row>
    <row r="31" ht="12.75" customHeight="1">
      <c r="A31" s="55">
        <v>35.0</v>
      </c>
      <c r="B31" s="56" t="s">
        <v>457</v>
      </c>
      <c r="C31" s="56" t="s">
        <v>458</v>
      </c>
      <c r="D31" s="56" t="s">
        <v>456</v>
      </c>
      <c r="E31" s="57">
        <v>86.62</v>
      </c>
      <c r="F31" s="57">
        <v>2.81</v>
      </c>
      <c r="G31" s="57">
        <v>85.47</v>
      </c>
      <c r="H31" s="57">
        <v>75.77</v>
      </c>
      <c r="I31" s="52" t="str">
        <f t="shared" si="2"/>
        <v>0</v>
      </c>
      <c r="J31" s="52" t="str">
        <f t="shared" si="3"/>
        <v>0</v>
      </c>
      <c r="K31" s="52" t="str">
        <f t="shared" si="4"/>
        <v>0</v>
      </c>
      <c r="L31" s="52" t="str">
        <f t="shared" si="5"/>
        <v>0</v>
      </c>
      <c r="M31" s="52" t="str">
        <f t="shared" si="6"/>
        <v>0</v>
      </c>
      <c r="N31" s="52"/>
      <c r="O31" s="52"/>
      <c r="P31" s="52"/>
      <c r="Q31" s="52"/>
    </row>
    <row r="32" ht="12.75" customHeight="1">
      <c r="A32" s="55">
        <v>95.0</v>
      </c>
      <c r="B32" s="56" t="s">
        <v>459</v>
      </c>
      <c r="C32" s="56" t="s">
        <v>443</v>
      </c>
      <c r="D32" s="56" t="s">
        <v>456</v>
      </c>
      <c r="E32" s="57">
        <v>31.03</v>
      </c>
      <c r="F32" s="57">
        <v>2.36</v>
      </c>
      <c r="G32" s="57">
        <v>34.65</v>
      </c>
      <c r="H32" s="57">
        <v>48.77</v>
      </c>
      <c r="I32" s="52" t="str">
        <f t="shared" si="2"/>
        <v>0</v>
      </c>
      <c r="J32" s="52" t="str">
        <f t="shared" si="3"/>
        <v>0</v>
      </c>
      <c r="K32" s="52" t="str">
        <f t="shared" si="4"/>
        <v>0</v>
      </c>
      <c r="L32" s="52" t="str">
        <f t="shared" si="5"/>
        <v>0</v>
      </c>
      <c r="M32" s="52" t="str">
        <f t="shared" si="6"/>
        <v>0</v>
      </c>
      <c r="N32" s="52"/>
      <c r="O32" s="52"/>
      <c r="P32" s="52"/>
      <c r="Q32" s="52"/>
    </row>
    <row r="33" ht="12.75" customHeight="1">
      <c r="A33" s="55">
        <v>2.0</v>
      </c>
      <c r="B33" s="56" t="s">
        <v>460</v>
      </c>
      <c r="C33" s="56" t="s">
        <v>443</v>
      </c>
      <c r="D33" s="56" t="s">
        <v>456</v>
      </c>
      <c r="E33" s="57">
        <v>134.19</v>
      </c>
      <c r="F33" s="57">
        <v>15.59</v>
      </c>
      <c r="G33" s="57">
        <v>626.93</v>
      </c>
      <c r="H33" s="57">
        <v>328.54</v>
      </c>
      <c r="I33" s="52" t="str">
        <f t="shared" si="2"/>
        <v>1</v>
      </c>
      <c r="J33" s="52" t="str">
        <f t="shared" si="3"/>
        <v>1</v>
      </c>
      <c r="K33" s="52" t="str">
        <f t="shared" si="4"/>
        <v>0</v>
      </c>
      <c r="L33" s="52" t="str">
        <f t="shared" si="5"/>
        <v>1</v>
      </c>
      <c r="M33" s="52" t="str">
        <f t="shared" si="6"/>
        <v>3</v>
      </c>
      <c r="N33" s="52"/>
      <c r="O33" s="52"/>
      <c r="P33" s="52"/>
      <c r="Q33" s="52"/>
    </row>
    <row r="34" ht="12.75" customHeight="1">
      <c r="A34" s="55">
        <v>100.0</v>
      </c>
      <c r="B34" s="56" t="s">
        <v>461</v>
      </c>
      <c r="C34" s="56" t="s">
        <v>426</v>
      </c>
      <c r="D34" s="56" t="s">
        <v>462</v>
      </c>
      <c r="E34" s="57">
        <v>38.17</v>
      </c>
      <c r="F34" s="57">
        <v>2.05</v>
      </c>
      <c r="G34" s="57">
        <v>54.04</v>
      </c>
      <c r="H34" s="57">
        <v>19.64</v>
      </c>
      <c r="I34" s="52" t="str">
        <f t="shared" si="2"/>
        <v>0</v>
      </c>
      <c r="J34" s="52" t="str">
        <f t="shared" si="3"/>
        <v>0</v>
      </c>
      <c r="K34" s="52" t="str">
        <f t="shared" si="4"/>
        <v>0</v>
      </c>
      <c r="L34" s="52" t="str">
        <f t="shared" si="5"/>
        <v>0</v>
      </c>
      <c r="M34" s="52" t="str">
        <f t="shared" si="6"/>
        <v>0</v>
      </c>
      <c r="N34" s="52"/>
      <c r="O34" s="52"/>
      <c r="P34" s="52"/>
      <c r="Q34" s="52"/>
    </row>
    <row r="35" ht="12.75" customHeight="1">
      <c r="A35" s="55">
        <v>71.0</v>
      </c>
      <c r="B35" s="56" t="s">
        <v>463</v>
      </c>
      <c r="C35" s="56" t="s">
        <v>458</v>
      </c>
      <c r="D35" s="56" t="s">
        <v>462</v>
      </c>
      <c r="E35" s="57">
        <v>91.33</v>
      </c>
      <c r="F35" s="57">
        <v>2.71</v>
      </c>
      <c r="G35" s="57">
        <v>112.87</v>
      </c>
      <c r="H35" s="57">
        <v>17.42</v>
      </c>
      <c r="I35" s="52" t="str">
        <f t="shared" si="2"/>
        <v>0</v>
      </c>
      <c r="J35" s="52" t="str">
        <f t="shared" si="3"/>
        <v>0</v>
      </c>
      <c r="K35" s="52" t="str">
        <f t="shared" si="4"/>
        <v>0</v>
      </c>
      <c r="L35" s="52" t="str">
        <f t="shared" si="5"/>
        <v>0</v>
      </c>
      <c r="M35" s="52" t="str">
        <f t="shared" si="6"/>
        <v>0</v>
      </c>
      <c r="N35" s="52"/>
      <c r="O35" s="52"/>
      <c r="P35" s="52"/>
      <c r="Q35" s="52"/>
    </row>
    <row r="36" ht="12.75" customHeight="1">
      <c r="A36" s="55">
        <v>74.0</v>
      </c>
      <c r="B36" s="56" t="s">
        <v>464</v>
      </c>
      <c r="C36" s="56" t="s">
        <v>458</v>
      </c>
      <c r="D36" s="56" t="s">
        <v>462</v>
      </c>
      <c r="E36" s="57">
        <v>52.23</v>
      </c>
      <c r="F36" s="57">
        <v>2.12</v>
      </c>
      <c r="G36" s="57">
        <v>58.11</v>
      </c>
      <c r="H36" s="57">
        <v>29.03</v>
      </c>
      <c r="I36" s="52" t="str">
        <f t="shared" si="2"/>
        <v>0</v>
      </c>
      <c r="J36" s="52" t="str">
        <f t="shared" si="3"/>
        <v>0</v>
      </c>
      <c r="K36" s="52" t="str">
        <f t="shared" si="4"/>
        <v>0</v>
      </c>
      <c r="L36" s="52" t="str">
        <f t="shared" si="5"/>
        <v>0</v>
      </c>
      <c r="M36" s="52" t="str">
        <f t="shared" si="6"/>
        <v>0</v>
      </c>
      <c r="N36" s="52"/>
      <c r="O36" s="52"/>
      <c r="P36" s="52"/>
      <c r="Q36" s="52"/>
    </row>
    <row r="37" ht="12.75" customHeight="1">
      <c r="A37" s="55">
        <v>21.0</v>
      </c>
      <c r="B37" s="56" t="s">
        <v>465</v>
      </c>
      <c r="C37" s="56" t="s">
        <v>458</v>
      </c>
      <c r="D37" s="56" t="s">
        <v>462</v>
      </c>
      <c r="E37" s="57">
        <v>157.13</v>
      </c>
      <c r="F37" s="57">
        <v>5.12</v>
      </c>
      <c r="G37" s="57">
        <v>195.58</v>
      </c>
      <c r="H37" s="57">
        <v>47.43</v>
      </c>
      <c r="I37" s="52" t="str">
        <f t="shared" si="2"/>
        <v>1</v>
      </c>
      <c r="J37" s="52" t="str">
        <f t="shared" si="3"/>
        <v>0</v>
      </c>
      <c r="K37" s="52" t="str">
        <f t="shared" si="4"/>
        <v>0</v>
      </c>
      <c r="L37" s="52" t="str">
        <f t="shared" si="5"/>
        <v>0</v>
      </c>
      <c r="M37" s="52" t="str">
        <f t="shared" si="6"/>
        <v>1</v>
      </c>
      <c r="N37" s="52"/>
      <c r="O37" s="52"/>
      <c r="P37" s="52"/>
      <c r="Q37" s="52"/>
    </row>
    <row r="38" ht="12.75" customHeight="1">
      <c r="A38" s="55">
        <v>82.0</v>
      </c>
      <c r="B38" s="56" t="s">
        <v>466</v>
      </c>
      <c r="C38" s="56" t="s">
        <v>467</v>
      </c>
      <c r="D38" s="56" t="s">
        <v>462</v>
      </c>
      <c r="E38" s="57">
        <v>63.23</v>
      </c>
      <c r="F38" s="57">
        <v>0.98</v>
      </c>
      <c r="G38" s="57">
        <v>68.04</v>
      </c>
      <c r="H38" s="57">
        <v>38.0</v>
      </c>
      <c r="I38" s="52" t="str">
        <f t="shared" si="2"/>
        <v>0</v>
      </c>
      <c r="J38" s="52" t="str">
        <f t="shared" si="3"/>
        <v>0</v>
      </c>
      <c r="K38" s="52" t="str">
        <f t="shared" si="4"/>
        <v>0</v>
      </c>
      <c r="L38" s="52" t="str">
        <f t="shared" si="5"/>
        <v>0</v>
      </c>
      <c r="M38" s="52" t="str">
        <f t="shared" si="6"/>
        <v>0</v>
      </c>
      <c r="N38" s="52"/>
      <c r="O38" s="52"/>
      <c r="P38" s="52"/>
      <c r="Q38" s="52"/>
    </row>
    <row r="39" ht="12.75" customHeight="1">
      <c r="A39" s="55">
        <v>49.0</v>
      </c>
      <c r="B39" s="56" t="s">
        <v>468</v>
      </c>
      <c r="C39" s="56" t="s">
        <v>467</v>
      </c>
      <c r="D39" s="56" t="s">
        <v>462</v>
      </c>
      <c r="E39" s="57">
        <v>67.44</v>
      </c>
      <c r="F39" s="57">
        <v>3.61</v>
      </c>
      <c r="G39" s="57">
        <v>63.09</v>
      </c>
      <c r="H39" s="57">
        <v>40.61</v>
      </c>
      <c r="I39" s="52" t="str">
        <f t="shared" si="2"/>
        <v>0</v>
      </c>
      <c r="J39" s="52" t="str">
        <f t="shared" si="3"/>
        <v>0</v>
      </c>
      <c r="K39" s="52" t="str">
        <f t="shared" si="4"/>
        <v>0</v>
      </c>
      <c r="L39" s="52" t="str">
        <f t="shared" si="5"/>
        <v>0</v>
      </c>
      <c r="M39" s="52" t="str">
        <f t="shared" si="6"/>
        <v>0</v>
      </c>
      <c r="N39" s="52"/>
      <c r="O39" s="52"/>
      <c r="P39" s="52"/>
      <c r="Q39" s="52"/>
    </row>
    <row r="40" ht="12.75" customHeight="1">
      <c r="A40" s="55">
        <v>51.0</v>
      </c>
      <c r="B40" s="56" t="s">
        <v>469</v>
      </c>
      <c r="C40" s="56" t="s">
        <v>467</v>
      </c>
      <c r="D40" s="56" t="s">
        <v>462</v>
      </c>
      <c r="E40" s="57">
        <v>57.77</v>
      </c>
      <c r="F40" s="57">
        <v>4.19</v>
      </c>
      <c r="G40" s="57">
        <v>60.56</v>
      </c>
      <c r="H40" s="57">
        <v>41.71</v>
      </c>
      <c r="I40" s="52" t="str">
        <f t="shared" si="2"/>
        <v>0</v>
      </c>
      <c r="J40" s="52" t="str">
        <f t="shared" si="3"/>
        <v>0</v>
      </c>
      <c r="K40" s="52" t="str">
        <f t="shared" si="4"/>
        <v>0</v>
      </c>
      <c r="L40" s="52" t="str">
        <f t="shared" si="5"/>
        <v>0</v>
      </c>
      <c r="M40" s="52" t="str">
        <f t="shared" si="6"/>
        <v>0</v>
      </c>
      <c r="N40" s="52"/>
      <c r="O40" s="52"/>
      <c r="P40" s="52"/>
      <c r="Q40" s="52"/>
    </row>
    <row r="41" ht="12.75" customHeight="1">
      <c r="A41" s="55">
        <v>8.0</v>
      </c>
      <c r="B41" s="56" t="s">
        <v>470</v>
      </c>
      <c r="C41" s="56" t="s">
        <v>467</v>
      </c>
      <c r="D41" s="56" t="s">
        <v>462</v>
      </c>
      <c r="E41" s="57">
        <v>135.82</v>
      </c>
      <c r="F41" s="57">
        <v>7.99</v>
      </c>
      <c r="G41" s="57">
        <v>171.71</v>
      </c>
      <c r="H41" s="57">
        <v>115.4</v>
      </c>
      <c r="I41" s="52" t="str">
        <f t="shared" si="2"/>
        <v>1</v>
      </c>
      <c r="J41" s="52" t="str">
        <f t="shared" si="3"/>
        <v>0</v>
      </c>
      <c r="K41" s="52" t="str">
        <f t="shared" si="4"/>
        <v>0</v>
      </c>
      <c r="L41" s="52" t="str">
        <f t="shared" si="5"/>
        <v>0</v>
      </c>
      <c r="M41" s="52" t="str">
        <f t="shared" si="6"/>
        <v>1</v>
      </c>
      <c r="N41" s="52"/>
      <c r="O41" s="52"/>
      <c r="P41" s="52"/>
      <c r="Q41" s="52"/>
    </row>
    <row r="42" ht="12.75" customHeight="1">
      <c r="A42" s="55">
        <v>75.0</v>
      </c>
      <c r="B42" s="56" t="s">
        <v>471</v>
      </c>
      <c r="C42" s="56" t="s">
        <v>443</v>
      </c>
      <c r="D42" s="56" t="s">
        <v>462</v>
      </c>
      <c r="E42" s="57">
        <v>164.2</v>
      </c>
      <c r="F42" s="57">
        <v>0.76</v>
      </c>
      <c r="G42" s="57">
        <v>312.56</v>
      </c>
      <c r="H42" s="57">
        <v>26.29</v>
      </c>
      <c r="I42" s="52" t="str">
        <f t="shared" si="2"/>
        <v>1</v>
      </c>
      <c r="J42" s="52" t="str">
        <f t="shared" si="3"/>
        <v>0</v>
      </c>
      <c r="K42" s="52" t="str">
        <f t="shared" si="4"/>
        <v>0</v>
      </c>
      <c r="L42" s="52" t="str">
        <f t="shared" si="5"/>
        <v>0</v>
      </c>
      <c r="M42" s="52" t="str">
        <f t="shared" si="6"/>
        <v>1</v>
      </c>
      <c r="N42" s="52"/>
      <c r="O42" s="52"/>
      <c r="P42" s="52"/>
      <c r="Q42" s="52"/>
    </row>
    <row r="43" ht="12.75" customHeight="1">
      <c r="A43" s="55">
        <v>29.0</v>
      </c>
      <c r="B43" s="56" t="s">
        <v>472</v>
      </c>
      <c r="C43" s="56" t="s">
        <v>443</v>
      </c>
      <c r="D43" s="56" t="s">
        <v>462</v>
      </c>
      <c r="E43" s="57">
        <v>185.52</v>
      </c>
      <c r="F43" s="57">
        <v>3.82</v>
      </c>
      <c r="G43" s="57">
        <v>450.0</v>
      </c>
      <c r="H43" s="57">
        <v>27.47</v>
      </c>
      <c r="I43" s="52" t="str">
        <f t="shared" si="2"/>
        <v>1</v>
      </c>
      <c r="J43" s="52" t="str">
        <f t="shared" si="3"/>
        <v>0</v>
      </c>
      <c r="K43" s="52" t="str">
        <f t="shared" si="4"/>
        <v>0</v>
      </c>
      <c r="L43" s="52" t="str">
        <f t="shared" si="5"/>
        <v>0</v>
      </c>
      <c r="M43" s="52" t="str">
        <f t="shared" si="6"/>
        <v>1</v>
      </c>
      <c r="N43" s="52"/>
      <c r="O43" s="52"/>
      <c r="P43" s="52"/>
      <c r="Q43" s="52"/>
    </row>
    <row r="44" ht="12.75" customHeight="1">
      <c r="A44" s="55">
        <v>34.0</v>
      </c>
      <c r="B44" s="56" t="s">
        <v>473</v>
      </c>
      <c r="C44" s="56" t="s">
        <v>458</v>
      </c>
      <c r="D44" s="56" t="s">
        <v>474</v>
      </c>
      <c r="E44" s="57">
        <v>58.85</v>
      </c>
      <c r="F44" s="57">
        <v>1.53</v>
      </c>
      <c r="G44" s="57">
        <v>792.49</v>
      </c>
      <c r="H44" s="57">
        <v>50.23</v>
      </c>
      <c r="I44" s="52" t="str">
        <f t="shared" si="2"/>
        <v>0</v>
      </c>
      <c r="J44" s="52" t="str">
        <f t="shared" si="3"/>
        <v>0</v>
      </c>
      <c r="K44" s="52" t="str">
        <f t="shared" si="4"/>
        <v>1</v>
      </c>
      <c r="L44" s="52" t="str">
        <f t="shared" si="5"/>
        <v>0</v>
      </c>
      <c r="M44" s="52" t="str">
        <f t="shared" si="6"/>
        <v>1</v>
      </c>
      <c r="N44" s="52"/>
      <c r="O44" s="52"/>
      <c r="P44" s="52"/>
      <c r="Q44" s="52"/>
    </row>
    <row r="45" ht="12.75" customHeight="1">
      <c r="A45" s="55">
        <v>96.0</v>
      </c>
      <c r="B45" s="56" t="s">
        <v>475</v>
      </c>
      <c r="C45" s="56" t="s">
        <v>432</v>
      </c>
      <c r="D45" s="56" t="s">
        <v>474</v>
      </c>
      <c r="E45" s="57">
        <v>52.51</v>
      </c>
      <c r="F45" s="57">
        <v>0.56</v>
      </c>
      <c r="G45" s="57">
        <v>507.98</v>
      </c>
      <c r="H45" s="57">
        <v>30.19</v>
      </c>
      <c r="I45" s="52" t="str">
        <f t="shared" si="2"/>
        <v>0</v>
      </c>
      <c r="J45" s="52" t="str">
        <f t="shared" si="3"/>
        <v>0</v>
      </c>
      <c r="K45" s="52" t="str">
        <f t="shared" si="4"/>
        <v>0</v>
      </c>
      <c r="L45" s="52" t="str">
        <f t="shared" si="5"/>
        <v>0</v>
      </c>
      <c r="M45" s="52" t="str">
        <f t="shared" si="6"/>
        <v>0</v>
      </c>
      <c r="N45" s="52"/>
      <c r="O45" s="52"/>
      <c r="P45" s="52"/>
      <c r="Q45" s="52"/>
    </row>
    <row r="46" ht="12.75" customHeight="1">
      <c r="A46" s="55">
        <v>12.0</v>
      </c>
      <c r="B46" s="56" t="s">
        <v>476</v>
      </c>
      <c r="C46" s="56" t="s">
        <v>432</v>
      </c>
      <c r="D46" s="56" t="s">
        <v>474</v>
      </c>
      <c r="E46" s="57">
        <v>94.72</v>
      </c>
      <c r="F46" s="57">
        <v>4.73</v>
      </c>
      <c r="G46" s="57">
        <v>752.49</v>
      </c>
      <c r="H46" s="57">
        <v>54.59</v>
      </c>
      <c r="I46" s="52" t="str">
        <f t="shared" si="2"/>
        <v>0</v>
      </c>
      <c r="J46" s="52" t="str">
        <f t="shared" si="3"/>
        <v>0</v>
      </c>
      <c r="K46" s="52" t="str">
        <f t="shared" si="4"/>
        <v>1</v>
      </c>
      <c r="L46" s="52" t="str">
        <f t="shared" si="5"/>
        <v>0</v>
      </c>
      <c r="M46" s="52" t="str">
        <f t="shared" si="6"/>
        <v>1</v>
      </c>
      <c r="N46" s="52"/>
      <c r="O46" s="52"/>
      <c r="P46" s="52"/>
      <c r="Q46" s="52"/>
    </row>
    <row r="47" ht="12.75" customHeight="1">
      <c r="A47" s="55">
        <v>11.0</v>
      </c>
      <c r="B47" s="56" t="s">
        <v>477</v>
      </c>
      <c r="C47" s="56" t="s">
        <v>478</v>
      </c>
      <c r="D47" s="56" t="s">
        <v>474</v>
      </c>
      <c r="E47" s="57">
        <v>48.95</v>
      </c>
      <c r="F47" s="57">
        <v>5.15</v>
      </c>
      <c r="G47" s="57">
        <v>853.23</v>
      </c>
      <c r="H47" s="57">
        <v>85.07</v>
      </c>
      <c r="I47" s="52" t="str">
        <f t="shared" si="2"/>
        <v>0</v>
      </c>
      <c r="J47" s="52" t="str">
        <f t="shared" si="3"/>
        <v>0</v>
      </c>
      <c r="K47" s="52" t="str">
        <f t="shared" si="4"/>
        <v>1</v>
      </c>
      <c r="L47" s="52" t="str">
        <f t="shared" si="5"/>
        <v>0</v>
      </c>
      <c r="M47" s="52" t="str">
        <f t="shared" si="6"/>
        <v>1</v>
      </c>
      <c r="N47" s="52"/>
      <c r="O47" s="52"/>
      <c r="P47" s="52"/>
      <c r="Q47" s="52"/>
    </row>
    <row r="48" ht="12.75" customHeight="1">
      <c r="A48" s="55">
        <v>20.0</v>
      </c>
      <c r="B48" s="56" t="s">
        <v>479</v>
      </c>
      <c r="C48" s="56" t="s">
        <v>443</v>
      </c>
      <c r="D48" s="56" t="s">
        <v>474</v>
      </c>
      <c r="E48" s="57">
        <v>46.26</v>
      </c>
      <c r="F48" s="57">
        <v>10.09</v>
      </c>
      <c r="G48" s="57">
        <v>752.25</v>
      </c>
      <c r="H48" s="57">
        <v>44.25</v>
      </c>
      <c r="I48" s="52" t="str">
        <f t="shared" si="2"/>
        <v>0</v>
      </c>
      <c r="J48" s="52" t="str">
        <f t="shared" si="3"/>
        <v>0</v>
      </c>
      <c r="K48" s="52" t="str">
        <f t="shared" si="4"/>
        <v>1</v>
      </c>
      <c r="L48" s="52" t="str">
        <f t="shared" si="5"/>
        <v>0</v>
      </c>
      <c r="M48" s="52" t="str">
        <f t="shared" si="6"/>
        <v>1</v>
      </c>
      <c r="N48" s="52"/>
      <c r="O48" s="52"/>
      <c r="P48" s="52"/>
      <c r="Q48" s="52"/>
    </row>
    <row r="49" ht="12.75" customHeight="1">
      <c r="A49" s="55">
        <v>56.0</v>
      </c>
      <c r="B49" s="56" t="s">
        <v>480</v>
      </c>
      <c r="C49" s="56" t="s">
        <v>443</v>
      </c>
      <c r="D49" s="56" t="s">
        <v>474</v>
      </c>
      <c r="E49" s="57">
        <v>22.84</v>
      </c>
      <c r="F49" s="57">
        <v>2.54</v>
      </c>
      <c r="G49" s="57">
        <v>394.14</v>
      </c>
      <c r="H49" s="57">
        <v>50.12</v>
      </c>
      <c r="I49" s="52" t="str">
        <f t="shared" si="2"/>
        <v>0</v>
      </c>
      <c r="J49" s="52" t="str">
        <f t="shared" si="3"/>
        <v>0</v>
      </c>
      <c r="K49" s="52" t="str">
        <f t="shared" si="4"/>
        <v>0</v>
      </c>
      <c r="L49" s="52" t="str">
        <f t="shared" si="5"/>
        <v>0</v>
      </c>
      <c r="M49" s="52" t="str">
        <f t="shared" si="6"/>
        <v>0</v>
      </c>
      <c r="N49" s="52"/>
      <c r="O49" s="52"/>
      <c r="P49" s="52"/>
      <c r="Q49" s="52"/>
    </row>
    <row r="50" ht="12.75" customHeight="1">
      <c r="A50" s="55">
        <v>40.0</v>
      </c>
      <c r="B50" s="56" t="s">
        <v>481</v>
      </c>
      <c r="C50" s="56" t="s">
        <v>443</v>
      </c>
      <c r="D50" s="56" t="s">
        <v>474</v>
      </c>
      <c r="E50" s="57">
        <v>26.64</v>
      </c>
      <c r="F50" s="57">
        <v>3.47</v>
      </c>
      <c r="G50" s="57">
        <v>485.77</v>
      </c>
      <c r="H50" s="57">
        <v>57.52</v>
      </c>
      <c r="I50" s="52" t="str">
        <f t="shared" si="2"/>
        <v>0</v>
      </c>
      <c r="J50" s="52" t="str">
        <f t="shared" si="3"/>
        <v>0</v>
      </c>
      <c r="K50" s="52" t="str">
        <f t="shared" si="4"/>
        <v>0</v>
      </c>
      <c r="L50" s="52" t="str">
        <f t="shared" si="5"/>
        <v>0</v>
      </c>
      <c r="M50" s="52" t="str">
        <f t="shared" si="6"/>
        <v>0</v>
      </c>
      <c r="N50" s="52"/>
      <c r="O50" s="52"/>
      <c r="P50" s="52"/>
      <c r="Q50" s="52"/>
    </row>
    <row r="51" ht="12.75" customHeight="1">
      <c r="A51" s="55">
        <v>28.0</v>
      </c>
      <c r="B51" s="56" t="s">
        <v>482</v>
      </c>
      <c r="C51" s="56" t="s">
        <v>443</v>
      </c>
      <c r="D51" s="56" t="s">
        <v>474</v>
      </c>
      <c r="E51" s="57">
        <v>33.0</v>
      </c>
      <c r="F51" s="57">
        <v>3.64</v>
      </c>
      <c r="G51" s="57">
        <v>580.63</v>
      </c>
      <c r="H51" s="57">
        <v>64.81</v>
      </c>
      <c r="I51" s="52" t="str">
        <f t="shared" si="2"/>
        <v>0</v>
      </c>
      <c r="J51" s="52" t="str">
        <f t="shared" si="3"/>
        <v>0</v>
      </c>
      <c r="K51" s="52" t="str">
        <f t="shared" si="4"/>
        <v>0</v>
      </c>
      <c r="L51" s="52" t="str">
        <f t="shared" si="5"/>
        <v>0</v>
      </c>
      <c r="M51" s="52" t="str">
        <f t="shared" si="6"/>
        <v>0</v>
      </c>
      <c r="N51" s="52"/>
      <c r="O51" s="52"/>
      <c r="P51" s="52"/>
      <c r="Q51" s="52"/>
    </row>
    <row r="52" ht="12.75" customHeight="1">
      <c r="A52" s="55">
        <v>50.0</v>
      </c>
      <c r="B52" s="56" t="s">
        <v>483</v>
      </c>
      <c r="C52" s="56" t="s">
        <v>443</v>
      </c>
      <c r="D52" s="56" t="s">
        <v>474</v>
      </c>
      <c r="E52" s="57">
        <v>24.17</v>
      </c>
      <c r="F52" s="57">
        <v>3.0</v>
      </c>
      <c r="G52" s="57">
        <v>175.0</v>
      </c>
      <c r="H52" s="57">
        <v>68.89</v>
      </c>
      <c r="I52" s="52" t="str">
        <f t="shared" si="2"/>
        <v>0</v>
      </c>
      <c r="J52" s="52" t="str">
        <f t="shared" si="3"/>
        <v>0</v>
      </c>
      <c r="K52" s="52" t="str">
        <f t="shared" si="4"/>
        <v>0</v>
      </c>
      <c r="L52" s="52" t="str">
        <f t="shared" si="5"/>
        <v>0</v>
      </c>
      <c r="M52" s="52" t="str">
        <f t="shared" si="6"/>
        <v>0</v>
      </c>
      <c r="N52" s="52"/>
      <c r="O52" s="52"/>
      <c r="P52" s="52"/>
      <c r="Q52" s="52"/>
    </row>
    <row r="53" ht="12.75" customHeight="1">
      <c r="A53" s="55">
        <v>9.0</v>
      </c>
      <c r="B53" s="56" t="s">
        <v>484</v>
      </c>
      <c r="C53" s="56" t="s">
        <v>443</v>
      </c>
      <c r="D53" s="56" t="s">
        <v>474</v>
      </c>
      <c r="E53" s="57">
        <v>53.13</v>
      </c>
      <c r="F53" s="57">
        <v>6.48</v>
      </c>
      <c r="G53" s="58">
        <v>1019.17</v>
      </c>
      <c r="H53" s="57">
        <v>76.84</v>
      </c>
      <c r="I53" s="52" t="str">
        <f t="shared" si="2"/>
        <v>0</v>
      </c>
      <c r="J53" s="52" t="str">
        <f t="shared" si="3"/>
        <v>0</v>
      </c>
      <c r="K53" s="52" t="str">
        <f t="shared" si="4"/>
        <v>1</v>
      </c>
      <c r="L53" s="52" t="str">
        <f t="shared" si="5"/>
        <v>0</v>
      </c>
      <c r="M53" s="52" t="str">
        <f t="shared" si="6"/>
        <v>1</v>
      </c>
      <c r="N53" s="52"/>
      <c r="O53" s="52"/>
      <c r="P53" s="52"/>
      <c r="Q53" s="52"/>
    </row>
    <row r="54" ht="12.75" customHeight="1">
      <c r="A54" s="55">
        <v>78.0</v>
      </c>
      <c r="B54" s="56" t="s">
        <v>485</v>
      </c>
      <c r="C54" s="56" t="s">
        <v>478</v>
      </c>
      <c r="D54" s="56" t="s">
        <v>486</v>
      </c>
      <c r="E54" s="57">
        <v>25.18</v>
      </c>
      <c r="F54" s="57">
        <v>2.48</v>
      </c>
      <c r="G54" s="57">
        <v>45.77</v>
      </c>
      <c r="H54" s="57">
        <v>95.38</v>
      </c>
      <c r="I54" s="52" t="str">
        <f t="shared" si="2"/>
        <v>0</v>
      </c>
      <c r="J54" s="52" t="str">
        <f t="shared" si="3"/>
        <v>0</v>
      </c>
      <c r="K54" s="52" t="str">
        <f t="shared" si="4"/>
        <v>0</v>
      </c>
      <c r="L54" s="52" t="str">
        <f t="shared" si="5"/>
        <v>0</v>
      </c>
      <c r="M54" s="52" t="str">
        <f t="shared" si="6"/>
        <v>0</v>
      </c>
      <c r="N54" s="52"/>
      <c r="O54" s="52"/>
      <c r="P54" s="52"/>
      <c r="Q54" s="52"/>
    </row>
    <row r="55" ht="12.75" customHeight="1">
      <c r="A55" s="55">
        <v>64.0</v>
      </c>
      <c r="B55" s="56" t="s">
        <v>487</v>
      </c>
      <c r="C55" s="56" t="s">
        <v>478</v>
      </c>
      <c r="D55" s="56" t="s">
        <v>486</v>
      </c>
      <c r="E55" s="57">
        <v>26.77</v>
      </c>
      <c r="F55" s="57">
        <v>5.4</v>
      </c>
      <c r="G55" s="57">
        <v>46.92</v>
      </c>
      <c r="H55" s="57">
        <v>116.43</v>
      </c>
      <c r="I55" s="52" t="str">
        <f t="shared" si="2"/>
        <v>0</v>
      </c>
      <c r="J55" s="52" t="str">
        <f t="shared" si="3"/>
        <v>0</v>
      </c>
      <c r="K55" s="52" t="str">
        <f t="shared" si="4"/>
        <v>0</v>
      </c>
      <c r="L55" s="52" t="str">
        <f t="shared" si="5"/>
        <v>0</v>
      </c>
      <c r="M55" s="52" t="str">
        <f t="shared" si="6"/>
        <v>0</v>
      </c>
      <c r="N55" s="52"/>
      <c r="O55" s="52"/>
      <c r="P55" s="52"/>
      <c r="Q55" s="52"/>
    </row>
    <row r="56" ht="12.75" customHeight="1">
      <c r="A56" s="55">
        <v>80.0</v>
      </c>
      <c r="B56" s="56" t="s">
        <v>488</v>
      </c>
      <c r="C56" s="56" t="s">
        <v>437</v>
      </c>
      <c r="D56" s="56" t="s">
        <v>486</v>
      </c>
      <c r="E56" s="57">
        <v>34.16</v>
      </c>
      <c r="F56" s="57">
        <v>6.34</v>
      </c>
      <c r="G56" s="57">
        <v>29.19</v>
      </c>
      <c r="H56" s="57">
        <v>124.79</v>
      </c>
      <c r="I56" s="52" t="str">
        <f t="shared" si="2"/>
        <v>0</v>
      </c>
      <c r="J56" s="52" t="str">
        <f t="shared" si="3"/>
        <v>0</v>
      </c>
      <c r="K56" s="52" t="str">
        <f t="shared" si="4"/>
        <v>0</v>
      </c>
      <c r="L56" s="52" t="str">
        <f t="shared" si="5"/>
        <v>0</v>
      </c>
      <c r="M56" s="52" t="str">
        <f t="shared" si="6"/>
        <v>0</v>
      </c>
      <c r="N56" s="52"/>
      <c r="O56" s="52"/>
      <c r="P56" s="52"/>
      <c r="Q56" s="52"/>
    </row>
    <row r="57" ht="12.75" customHeight="1">
      <c r="A57" s="55">
        <v>63.0</v>
      </c>
      <c r="B57" s="56" t="s">
        <v>489</v>
      </c>
      <c r="C57" s="56" t="s">
        <v>443</v>
      </c>
      <c r="D57" s="56" t="s">
        <v>486</v>
      </c>
      <c r="E57" s="57">
        <v>30.78</v>
      </c>
      <c r="F57" s="57">
        <v>7.33</v>
      </c>
      <c r="G57" s="57">
        <v>42.59</v>
      </c>
      <c r="H57" s="57">
        <v>108.76</v>
      </c>
      <c r="I57" s="52" t="str">
        <f t="shared" si="2"/>
        <v>0</v>
      </c>
      <c r="J57" s="52" t="str">
        <f t="shared" si="3"/>
        <v>0</v>
      </c>
      <c r="K57" s="52" t="str">
        <f t="shared" si="4"/>
        <v>0</v>
      </c>
      <c r="L57" s="52" t="str">
        <f t="shared" si="5"/>
        <v>0</v>
      </c>
      <c r="M57" s="52" t="str">
        <f t="shared" si="6"/>
        <v>0</v>
      </c>
      <c r="N57" s="52"/>
      <c r="O57" s="52"/>
      <c r="P57" s="52"/>
      <c r="Q57" s="52"/>
    </row>
    <row r="58" ht="12.75" customHeight="1">
      <c r="A58" s="55">
        <v>46.0</v>
      </c>
      <c r="B58" s="56" t="s">
        <v>490</v>
      </c>
      <c r="C58" s="56" t="s">
        <v>443</v>
      </c>
      <c r="D58" s="56" t="s">
        <v>486</v>
      </c>
      <c r="E58" s="57">
        <v>40.01</v>
      </c>
      <c r="F58" s="57">
        <v>6.74</v>
      </c>
      <c r="G58" s="57">
        <v>46.66</v>
      </c>
      <c r="H58" s="57">
        <v>160.96</v>
      </c>
      <c r="I58" s="52" t="str">
        <f t="shared" si="2"/>
        <v>0</v>
      </c>
      <c r="J58" s="52" t="str">
        <f t="shared" si="3"/>
        <v>0</v>
      </c>
      <c r="K58" s="52" t="str">
        <f t="shared" si="4"/>
        <v>0</v>
      </c>
      <c r="L58" s="52" t="str">
        <f t="shared" si="5"/>
        <v>0</v>
      </c>
      <c r="M58" s="52" t="str">
        <f t="shared" si="6"/>
        <v>0</v>
      </c>
      <c r="N58" s="52"/>
      <c r="O58" s="52"/>
      <c r="P58" s="52"/>
      <c r="Q58" s="52"/>
    </row>
    <row r="59" ht="12.75" customHeight="1">
      <c r="A59" s="55">
        <v>24.0</v>
      </c>
      <c r="B59" s="56" t="s">
        <v>491</v>
      </c>
      <c r="C59" s="56" t="s">
        <v>443</v>
      </c>
      <c r="D59" s="56" t="s">
        <v>486</v>
      </c>
      <c r="E59" s="57">
        <v>40.36</v>
      </c>
      <c r="F59" s="57">
        <v>6.2</v>
      </c>
      <c r="G59" s="57">
        <v>120.06</v>
      </c>
      <c r="H59" s="57">
        <v>285.27</v>
      </c>
      <c r="I59" s="52" t="str">
        <f t="shared" si="2"/>
        <v>0</v>
      </c>
      <c r="J59" s="52" t="str">
        <f t="shared" si="3"/>
        <v>0</v>
      </c>
      <c r="K59" s="52" t="str">
        <f t="shared" si="4"/>
        <v>0</v>
      </c>
      <c r="L59" s="52" t="str">
        <f t="shared" si="5"/>
        <v>1</v>
      </c>
      <c r="M59" s="52" t="str">
        <f t="shared" si="6"/>
        <v>1</v>
      </c>
      <c r="N59" s="52"/>
      <c r="O59" s="52"/>
      <c r="P59" s="52"/>
      <c r="Q59" s="52"/>
    </row>
    <row r="60" ht="12.75" customHeight="1">
      <c r="A60" s="55">
        <v>88.0</v>
      </c>
      <c r="B60" s="56" t="s">
        <v>492</v>
      </c>
      <c r="C60" s="56" t="s">
        <v>426</v>
      </c>
      <c r="D60" s="56" t="s">
        <v>493</v>
      </c>
      <c r="E60" s="57">
        <v>96.94</v>
      </c>
      <c r="F60" s="57">
        <v>1.45</v>
      </c>
      <c r="G60" s="57">
        <v>40.11</v>
      </c>
      <c r="H60" s="57">
        <v>37.19</v>
      </c>
      <c r="I60" s="52" t="str">
        <f t="shared" si="2"/>
        <v>0</v>
      </c>
      <c r="J60" s="52" t="str">
        <f t="shared" si="3"/>
        <v>0</v>
      </c>
      <c r="K60" s="52" t="str">
        <f t="shared" si="4"/>
        <v>0</v>
      </c>
      <c r="L60" s="52" t="str">
        <f t="shared" si="5"/>
        <v>0</v>
      </c>
      <c r="M60" s="52" t="str">
        <f t="shared" si="6"/>
        <v>0</v>
      </c>
      <c r="N60" s="52"/>
      <c r="O60" s="52"/>
      <c r="P60" s="52"/>
      <c r="Q60" s="52"/>
    </row>
    <row r="61" ht="12.75" customHeight="1">
      <c r="A61" s="55">
        <v>66.0</v>
      </c>
      <c r="B61" s="56" t="s">
        <v>494</v>
      </c>
      <c r="C61" s="56" t="s">
        <v>495</v>
      </c>
      <c r="D61" s="56" t="s">
        <v>496</v>
      </c>
      <c r="E61" s="57">
        <v>50.7</v>
      </c>
      <c r="F61" s="57">
        <v>2.24</v>
      </c>
      <c r="G61" s="57">
        <v>45.49</v>
      </c>
      <c r="H61" s="57">
        <v>72.19</v>
      </c>
      <c r="I61" s="52" t="str">
        <f t="shared" si="2"/>
        <v>0</v>
      </c>
      <c r="J61" s="52" t="str">
        <f t="shared" si="3"/>
        <v>0</v>
      </c>
      <c r="K61" s="52" t="str">
        <f t="shared" si="4"/>
        <v>0</v>
      </c>
      <c r="L61" s="52" t="str">
        <f t="shared" si="5"/>
        <v>0</v>
      </c>
      <c r="M61" s="52" t="str">
        <f t="shared" si="6"/>
        <v>0</v>
      </c>
      <c r="N61" s="52"/>
      <c r="O61" s="52"/>
      <c r="P61" s="52"/>
      <c r="Q61" s="52"/>
    </row>
    <row r="62" ht="12.75" customHeight="1">
      <c r="A62" s="55">
        <v>32.0</v>
      </c>
      <c r="B62" s="56" t="s">
        <v>497</v>
      </c>
      <c r="C62" s="56" t="s">
        <v>478</v>
      </c>
      <c r="D62" s="56" t="s">
        <v>496</v>
      </c>
      <c r="E62" s="57">
        <v>64.56</v>
      </c>
      <c r="F62" s="57">
        <v>5.48</v>
      </c>
      <c r="G62" s="57">
        <v>62.15</v>
      </c>
      <c r="H62" s="57">
        <v>106.55</v>
      </c>
      <c r="I62" s="52" t="str">
        <f t="shared" si="2"/>
        <v>0</v>
      </c>
      <c r="J62" s="52" t="str">
        <f t="shared" si="3"/>
        <v>0</v>
      </c>
      <c r="K62" s="52" t="str">
        <f t="shared" si="4"/>
        <v>0</v>
      </c>
      <c r="L62" s="52" t="str">
        <f t="shared" si="5"/>
        <v>0</v>
      </c>
      <c r="M62" s="52" t="str">
        <f t="shared" si="6"/>
        <v>0</v>
      </c>
      <c r="N62" s="52"/>
      <c r="O62" s="52"/>
      <c r="P62" s="52"/>
      <c r="Q62" s="52"/>
    </row>
    <row r="63" ht="12.75" customHeight="1">
      <c r="A63" s="55">
        <v>22.0</v>
      </c>
      <c r="B63" s="56" t="s">
        <v>498</v>
      </c>
      <c r="C63" s="56" t="s">
        <v>443</v>
      </c>
      <c r="D63" s="56" t="s">
        <v>496</v>
      </c>
      <c r="E63" s="57">
        <v>60.7</v>
      </c>
      <c r="F63" s="57">
        <v>9.2</v>
      </c>
      <c r="G63" s="57">
        <v>96.18</v>
      </c>
      <c r="H63" s="57">
        <v>111.02</v>
      </c>
      <c r="I63" s="52" t="str">
        <f t="shared" si="2"/>
        <v>0</v>
      </c>
      <c r="J63" s="52" t="str">
        <f t="shared" si="3"/>
        <v>0</v>
      </c>
      <c r="K63" s="52" t="str">
        <f t="shared" si="4"/>
        <v>0</v>
      </c>
      <c r="L63" s="52" t="str">
        <f t="shared" si="5"/>
        <v>0</v>
      </c>
      <c r="M63" s="52" t="str">
        <f t="shared" si="6"/>
        <v>0</v>
      </c>
      <c r="N63" s="52"/>
      <c r="O63" s="52"/>
      <c r="P63" s="52"/>
      <c r="Q63" s="52"/>
    </row>
    <row r="64" ht="12.75" customHeight="1">
      <c r="A64" s="55">
        <v>44.0</v>
      </c>
      <c r="B64" s="56" t="s">
        <v>499</v>
      </c>
      <c r="C64" s="56" t="s">
        <v>443</v>
      </c>
      <c r="D64" s="56" t="s">
        <v>500</v>
      </c>
      <c r="E64" s="57">
        <v>46.99</v>
      </c>
      <c r="F64" s="57">
        <v>5.81</v>
      </c>
      <c r="G64" s="57">
        <v>53.86</v>
      </c>
      <c r="H64" s="57">
        <v>131.89</v>
      </c>
      <c r="I64" s="52" t="str">
        <f t="shared" si="2"/>
        <v>0</v>
      </c>
      <c r="J64" s="52" t="str">
        <f t="shared" si="3"/>
        <v>0</v>
      </c>
      <c r="K64" s="52" t="str">
        <f t="shared" si="4"/>
        <v>0</v>
      </c>
      <c r="L64" s="52" t="str">
        <f t="shared" si="5"/>
        <v>0</v>
      </c>
      <c r="M64" s="52" t="str">
        <f t="shared" si="6"/>
        <v>0</v>
      </c>
      <c r="N64" s="52"/>
      <c r="O64" s="52"/>
      <c r="P64" s="52"/>
      <c r="Q64" s="52"/>
    </row>
    <row r="65" ht="12.75" customHeight="1">
      <c r="A65" s="55">
        <v>53.0</v>
      </c>
      <c r="B65" s="56" t="s">
        <v>501</v>
      </c>
      <c r="C65" s="56" t="s">
        <v>426</v>
      </c>
      <c r="D65" s="56" t="s">
        <v>502</v>
      </c>
      <c r="E65" s="57">
        <v>90.1</v>
      </c>
      <c r="F65" s="57">
        <v>1.0</v>
      </c>
      <c r="G65" s="57">
        <v>456.13</v>
      </c>
      <c r="H65" s="57">
        <v>41.39</v>
      </c>
      <c r="I65" s="52" t="str">
        <f t="shared" si="2"/>
        <v>0</v>
      </c>
      <c r="J65" s="52" t="str">
        <f t="shared" si="3"/>
        <v>0</v>
      </c>
      <c r="K65" s="52" t="str">
        <f t="shared" si="4"/>
        <v>0</v>
      </c>
      <c r="L65" s="52" t="str">
        <f t="shared" si="5"/>
        <v>0</v>
      </c>
      <c r="M65" s="52" t="str">
        <f t="shared" si="6"/>
        <v>0</v>
      </c>
      <c r="N65" s="52"/>
      <c r="O65" s="52"/>
      <c r="P65" s="52"/>
      <c r="Q65" s="52"/>
    </row>
    <row r="66" ht="12.75" customHeight="1">
      <c r="A66" s="55">
        <v>73.0</v>
      </c>
      <c r="B66" s="56" t="s">
        <v>503</v>
      </c>
      <c r="C66" s="56" t="s">
        <v>458</v>
      </c>
      <c r="D66" s="56" t="s">
        <v>502</v>
      </c>
      <c r="E66" s="57">
        <v>45.85</v>
      </c>
      <c r="F66" s="57">
        <v>1.14</v>
      </c>
      <c r="G66" s="57">
        <v>191.33</v>
      </c>
      <c r="H66" s="57">
        <v>26.63</v>
      </c>
      <c r="I66" s="52" t="str">
        <f t="shared" si="2"/>
        <v>0</v>
      </c>
      <c r="J66" s="52" t="str">
        <f t="shared" si="3"/>
        <v>0</v>
      </c>
      <c r="K66" s="52" t="str">
        <f t="shared" si="4"/>
        <v>0</v>
      </c>
      <c r="L66" s="52" t="str">
        <f t="shared" si="5"/>
        <v>0</v>
      </c>
      <c r="M66" s="52" t="str">
        <f t="shared" si="6"/>
        <v>0</v>
      </c>
      <c r="N66" s="52"/>
      <c r="O66" s="52"/>
      <c r="P66" s="52"/>
      <c r="Q66" s="52"/>
    </row>
    <row r="67" ht="12.75" customHeight="1">
      <c r="A67" s="55">
        <v>98.0</v>
      </c>
      <c r="B67" s="56" t="s">
        <v>504</v>
      </c>
      <c r="C67" s="56" t="s">
        <v>432</v>
      </c>
      <c r="D67" s="56" t="s">
        <v>502</v>
      </c>
      <c r="E67" s="57">
        <v>17.75</v>
      </c>
      <c r="F67" s="57">
        <v>1.63</v>
      </c>
      <c r="G67" s="57">
        <v>266.59</v>
      </c>
      <c r="H67" s="57">
        <v>23.49</v>
      </c>
      <c r="I67" s="52" t="str">
        <f t="shared" si="2"/>
        <v>0</v>
      </c>
      <c r="J67" s="52" t="str">
        <f t="shared" si="3"/>
        <v>0</v>
      </c>
      <c r="K67" s="52" t="str">
        <f t="shared" si="4"/>
        <v>0</v>
      </c>
      <c r="L67" s="52" t="str">
        <f t="shared" si="5"/>
        <v>0</v>
      </c>
      <c r="M67" s="52" t="str">
        <f t="shared" si="6"/>
        <v>0</v>
      </c>
      <c r="N67" s="52"/>
      <c r="O67" s="52"/>
      <c r="P67" s="52"/>
      <c r="Q67" s="52"/>
    </row>
    <row r="68" ht="12.75" customHeight="1">
      <c r="A68" s="55">
        <v>59.0</v>
      </c>
      <c r="B68" s="56" t="s">
        <v>505</v>
      </c>
      <c r="C68" s="56" t="s">
        <v>443</v>
      </c>
      <c r="D68" s="56" t="s">
        <v>502</v>
      </c>
      <c r="E68" s="57">
        <v>35.79</v>
      </c>
      <c r="F68" s="57">
        <v>2.24</v>
      </c>
      <c r="G68" s="57">
        <v>326.84</v>
      </c>
      <c r="H68" s="57">
        <v>26.34</v>
      </c>
      <c r="I68" s="52" t="str">
        <f t="shared" si="2"/>
        <v>0</v>
      </c>
      <c r="J68" s="52" t="str">
        <f t="shared" si="3"/>
        <v>0</v>
      </c>
      <c r="K68" s="52" t="str">
        <f t="shared" si="4"/>
        <v>0</v>
      </c>
      <c r="L68" s="52" t="str">
        <f t="shared" si="5"/>
        <v>0</v>
      </c>
      <c r="M68" s="52" t="str">
        <f t="shared" si="6"/>
        <v>0</v>
      </c>
      <c r="N68" s="52"/>
      <c r="O68" s="52"/>
      <c r="P68" s="52"/>
      <c r="Q68" s="52"/>
    </row>
    <row r="69" ht="12.75" customHeight="1">
      <c r="A69" s="55">
        <v>62.0</v>
      </c>
      <c r="B69" s="56" t="s">
        <v>506</v>
      </c>
      <c r="C69" s="56" t="s">
        <v>443</v>
      </c>
      <c r="D69" s="56" t="s">
        <v>502</v>
      </c>
      <c r="E69" s="57">
        <v>32.15</v>
      </c>
      <c r="F69" s="57">
        <v>2.73</v>
      </c>
      <c r="G69" s="57">
        <v>134.14</v>
      </c>
      <c r="H69" s="57">
        <v>32.9</v>
      </c>
      <c r="I69" s="52" t="str">
        <f t="shared" si="2"/>
        <v>0</v>
      </c>
      <c r="J69" s="52" t="str">
        <f t="shared" si="3"/>
        <v>0</v>
      </c>
      <c r="K69" s="52" t="str">
        <f t="shared" si="4"/>
        <v>0</v>
      </c>
      <c r="L69" s="52" t="str">
        <f t="shared" si="5"/>
        <v>0</v>
      </c>
      <c r="M69" s="52" t="str">
        <f t="shared" si="6"/>
        <v>0</v>
      </c>
      <c r="N69" s="52"/>
      <c r="O69" s="52"/>
      <c r="P69" s="52"/>
      <c r="Q69" s="52"/>
    </row>
    <row r="70" ht="12.75" customHeight="1">
      <c r="A70" s="55">
        <v>14.0</v>
      </c>
      <c r="B70" s="56" t="s">
        <v>507</v>
      </c>
      <c r="C70" s="56" t="s">
        <v>443</v>
      </c>
      <c r="D70" s="56" t="s">
        <v>502</v>
      </c>
      <c r="E70" s="57">
        <v>56.22</v>
      </c>
      <c r="F70" s="57">
        <v>6.95</v>
      </c>
      <c r="G70" s="57">
        <v>172.24</v>
      </c>
      <c r="H70" s="57">
        <v>141.14</v>
      </c>
      <c r="I70" s="52" t="str">
        <f t="shared" si="2"/>
        <v>0</v>
      </c>
      <c r="J70" s="52" t="str">
        <f t="shared" si="3"/>
        <v>0</v>
      </c>
      <c r="K70" s="52" t="str">
        <f t="shared" si="4"/>
        <v>0</v>
      </c>
      <c r="L70" s="52" t="str">
        <f t="shared" si="5"/>
        <v>0</v>
      </c>
      <c r="M70" s="52" t="str">
        <f t="shared" si="6"/>
        <v>0</v>
      </c>
      <c r="N70" s="52"/>
      <c r="O70" s="52"/>
      <c r="P70" s="52"/>
      <c r="Q70" s="52"/>
    </row>
    <row r="71" ht="12.75" customHeight="1">
      <c r="A71" s="55">
        <v>3.0</v>
      </c>
      <c r="B71" s="56" t="s">
        <v>508</v>
      </c>
      <c r="C71" s="56" t="s">
        <v>443</v>
      </c>
      <c r="D71" s="56" t="s">
        <v>502</v>
      </c>
      <c r="E71" s="57">
        <v>76.66</v>
      </c>
      <c r="F71" s="57">
        <v>6.46</v>
      </c>
      <c r="G71" s="57">
        <v>647.66</v>
      </c>
      <c r="H71" s="57">
        <v>194.87</v>
      </c>
      <c r="I71" s="52" t="str">
        <f t="shared" si="2"/>
        <v>0</v>
      </c>
      <c r="J71" s="52" t="str">
        <f t="shared" si="3"/>
        <v>0</v>
      </c>
      <c r="K71" s="52" t="str">
        <f t="shared" si="4"/>
        <v>1</v>
      </c>
      <c r="L71" s="52" t="str">
        <f t="shared" si="5"/>
        <v>1</v>
      </c>
      <c r="M71" s="52" t="str">
        <f t="shared" si="6"/>
        <v>2</v>
      </c>
      <c r="N71" s="52"/>
      <c r="O71" s="52"/>
      <c r="P71" s="52"/>
      <c r="Q71" s="52"/>
    </row>
    <row r="72" ht="12.75" customHeight="1">
      <c r="A72" s="55">
        <v>85.0</v>
      </c>
      <c r="B72" s="56" t="s">
        <v>509</v>
      </c>
      <c r="C72" s="56" t="s">
        <v>443</v>
      </c>
      <c r="D72" s="56" t="s">
        <v>510</v>
      </c>
      <c r="E72" s="57">
        <v>28.44</v>
      </c>
      <c r="F72" s="57">
        <v>1.92</v>
      </c>
      <c r="G72" s="57">
        <v>51.52</v>
      </c>
      <c r="H72" s="57">
        <v>55.06</v>
      </c>
      <c r="I72" s="52" t="str">
        <f t="shared" si="2"/>
        <v>0</v>
      </c>
      <c r="J72" s="52" t="str">
        <f t="shared" si="3"/>
        <v>0</v>
      </c>
      <c r="K72" s="52" t="str">
        <f t="shared" si="4"/>
        <v>0</v>
      </c>
      <c r="L72" s="52" t="str">
        <f t="shared" si="5"/>
        <v>0</v>
      </c>
      <c r="M72" s="52" t="str">
        <f t="shared" si="6"/>
        <v>0</v>
      </c>
      <c r="N72" s="52"/>
      <c r="O72" s="52"/>
      <c r="P72" s="52"/>
      <c r="Q72" s="52"/>
    </row>
    <row r="73" ht="12.75" customHeight="1">
      <c r="A73" s="55">
        <v>70.0</v>
      </c>
      <c r="B73" s="56" t="s">
        <v>511</v>
      </c>
      <c r="C73" s="56" t="s">
        <v>443</v>
      </c>
      <c r="D73" s="56" t="s">
        <v>510</v>
      </c>
      <c r="E73" s="57">
        <v>18.35</v>
      </c>
      <c r="F73" s="57">
        <v>3.24</v>
      </c>
      <c r="G73" s="57">
        <v>109.16</v>
      </c>
      <c r="H73" s="57">
        <v>67.3</v>
      </c>
      <c r="I73" s="52" t="str">
        <f t="shared" si="2"/>
        <v>0</v>
      </c>
      <c r="J73" s="52" t="str">
        <f t="shared" si="3"/>
        <v>0</v>
      </c>
      <c r="K73" s="52" t="str">
        <f t="shared" si="4"/>
        <v>0</v>
      </c>
      <c r="L73" s="52" t="str">
        <f t="shared" si="5"/>
        <v>0</v>
      </c>
      <c r="M73" s="52" t="str">
        <f t="shared" si="6"/>
        <v>0</v>
      </c>
      <c r="N73" s="52"/>
      <c r="O73" s="52"/>
      <c r="P73" s="52"/>
      <c r="Q73" s="52"/>
    </row>
    <row r="74" ht="12.75" customHeight="1">
      <c r="A74" s="55">
        <v>61.0</v>
      </c>
      <c r="B74" s="56" t="s">
        <v>512</v>
      </c>
      <c r="C74" s="56" t="s">
        <v>443</v>
      </c>
      <c r="D74" s="56" t="s">
        <v>510</v>
      </c>
      <c r="E74" s="57">
        <v>25.85</v>
      </c>
      <c r="F74" s="57">
        <v>2.47</v>
      </c>
      <c r="G74" s="57">
        <v>90.94</v>
      </c>
      <c r="H74" s="57">
        <v>68.66</v>
      </c>
      <c r="I74" s="52" t="str">
        <f t="shared" si="2"/>
        <v>0</v>
      </c>
      <c r="J74" s="52" t="str">
        <f t="shared" si="3"/>
        <v>0</v>
      </c>
      <c r="K74" s="52" t="str">
        <f t="shared" si="4"/>
        <v>0</v>
      </c>
      <c r="L74" s="52" t="str">
        <f t="shared" si="5"/>
        <v>0</v>
      </c>
      <c r="M74" s="52" t="str">
        <f t="shared" si="6"/>
        <v>0</v>
      </c>
      <c r="N74" s="52"/>
      <c r="O74" s="52"/>
      <c r="P74" s="52"/>
      <c r="Q74" s="52"/>
    </row>
    <row r="75" ht="12.75" customHeight="1">
      <c r="A75" s="55">
        <v>42.0</v>
      </c>
      <c r="B75" s="56" t="s">
        <v>513</v>
      </c>
      <c r="C75" s="56" t="s">
        <v>443</v>
      </c>
      <c r="D75" s="56" t="s">
        <v>510</v>
      </c>
      <c r="E75" s="57">
        <v>38.08</v>
      </c>
      <c r="F75" s="57">
        <v>2.65</v>
      </c>
      <c r="G75" s="57">
        <v>121.78</v>
      </c>
      <c r="H75" s="57">
        <v>77.95</v>
      </c>
      <c r="I75" s="52" t="str">
        <f t="shared" si="2"/>
        <v>0</v>
      </c>
      <c r="J75" s="52" t="str">
        <f t="shared" si="3"/>
        <v>0</v>
      </c>
      <c r="K75" s="52" t="str">
        <f t="shared" si="4"/>
        <v>0</v>
      </c>
      <c r="L75" s="52" t="str">
        <f t="shared" si="5"/>
        <v>0</v>
      </c>
      <c r="M75" s="52" t="str">
        <f t="shared" si="6"/>
        <v>0</v>
      </c>
      <c r="N75" s="52"/>
      <c r="O75" s="52"/>
      <c r="P75" s="52"/>
      <c r="Q75" s="52"/>
    </row>
    <row r="76" ht="12.75" customHeight="1">
      <c r="A76" s="55">
        <v>81.0</v>
      </c>
      <c r="B76" s="56" t="s">
        <v>514</v>
      </c>
      <c r="C76" s="56" t="s">
        <v>515</v>
      </c>
      <c r="D76" s="56" t="s">
        <v>516</v>
      </c>
      <c r="E76" s="57">
        <v>39.16</v>
      </c>
      <c r="F76" s="57">
        <v>1.94</v>
      </c>
      <c r="G76" s="57">
        <v>45.32</v>
      </c>
      <c r="H76" s="57">
        <v>50.09</v>
      </c>
      <c r="I76" s="52" t="str">
        <f t="shared" si="2"/>
        <v>0</v>
      </c>
      <c r="J76" s="52" t="str">
        <f t="shared" si="3"/>
        <v>0</v>
      </c>
      <c r="K76" s="52" t="str">
        <f t="shared" si="4"/>
        <v>0</v>
      </c>
      <c r="L76" s="52" t="str">
        <f t="shared" si="5"/>
        <v>0</v>
      </c>
      <c r="M76" s="52" t="str">
        <f t="shared" si="6"/>
        <v>0</v>
      </c>
      <c r="N76" s="52"/>
      <c r="O76" s="52"/>
      <c r="P76" s="52"/>
      <c r="Q76" s="52"/>
    </row>
    <row r="77" ht="12.75" customHeight="1">
      <c r="A77" s="55">
        <v>55.0</v>
      </c>
      <c r="B77" s="56" t="s">
        <v>517</v>
      </c>
      <c r="C77" s="56" t="s">
        <v>515</v>
      </c>
      <c r="D77" s="56" t="s">
        <v>516</v>
      </c>
      <c r="E77" s="57">
        <v>29.53</v>
      </c>
      <c r="F77" s="57">
        <v>5.67</v>
      </c>
      <c r="G77" s="57">
        <v>58.36</v>
      </c>
      <c r="H77" s="57">
        <v>90.49</v>
      </c>
      <c r="I77" s="52" t="str">
        <f t="shared" si="2"/>
        <v>0</v>
      </c>
      <c r="J77" s="52" t="str">
        <f t="shared" si="3"/>
        <v>0</v>
      </c>
      <c r="K77" s="52" t="str">
        <f t="shared" si="4"/>
        <v>0</v>
      </c>
      <c r="L77" s="52" t="str">
        <f t="shared" si="5"/>
        <v>0</v>
      </c>
      <c r="M77" s="52" t="str">
        <f t="shared" si="6"/>
        <v>0</v>
      </c>
      <c r="N77" s="52"/>
      <c r="O77" s="59" t="s">
        <v>518</v>
      </c>
      <c r="P77" s="52"/>
      <c r="Q77" s="52"/>
    </row>
    <row r="78" ht="12.75" customHeight="1">
      <c r="A78" s="55">
        <v>17.0</v>
      </c>
      <c r="B78" s="56" t="s">
        <v>519</v>
      </c>
      <c r="C78" s="56" t="s">
        <v>426</v>
      </c>
      <c r="D78" s="56" t="s">
        <v>516</v>
      </c>
      <c r="E78" s="57">
        <v>131.64</v>
      </c>
      <c r="F78" s="57">
        <v>8.84</v>
      </c>
      <c r="G78" s="57">
        <v>87.84</v>
      </c>
      <c r="H78" s="57">
        <v>116.64</v>
      </c>
      <c r="I78" s="52" t="str">
        <f t="shared" si="2"/>
        <v>1</v>
      </c>
      <c r="J78" s="52" t="str">
        <f t="shared" si="3"/>
        <v>0</v>
      </c>
      <c r="K78" s="52" t="str">
        <f t="shared" si="4"/>
        <v>0</v>
      </c>
      <c r="L78" s="52" t="str">
        <f t="shared" si="5"/>
        <v>0</v>
      </c>
      <c r="M78" s="52" t="str">
        <f t="shared" si="6"/>
        <v>1</v>
      </c>
      <c r="N78" s="52"/>
      <c r="O78" s="52"/>
      <c r="P78" s="52"/>
      <c r="Q78" s="52"/>
    </row>
    <row r="79" ht="12.75" customHeight="1">
      <c r="A79" s="55">
        <v>37.0</v>
      </c>
      <c r="B79" s="56" t="s">
        <v>520</v>
      </c>
      <c r="C79" s="56" t="s">
        <v>430</v>
      </c>
      <c r="D79" s="56" t="s">
        <v>516</v>
      </c>
      <c r="E79" s="57">
        <v>53.29</v>
      </c>
      <c r="F79" s="57">
        <v>4.82</v>
      </c>
      <c r="G79" s="57">
        <v>67.91</v>
      </c>
      <c r="H79" s="57">
        <v>76.13</v>
      </c>
      <c r="I79" s="52" t="str">
        <f t="shared" si="2"/>
        <v>0</v>
      </c>
      <c r="J79" s="52" t="str">
        <f t="shared" si="3"/>
        <v>0</v>
      </c>
      <c r="K79" s="52" t="str">
        <f t="shared" si="4"/>
        <v>0</v>
      </c>
      <c r="L79" s="52" t="str">
        <f t="shared" si="5"/>
        <v>0</v>
      </c>
      <c r="M79" s="52" t="str">
        <f t="shared" si="6"/>
        <v>0</v>
      </c>
      <c r="N79" s="52"/>
      <c r="O79" s="52"/>
      <c r="P79" s="52"/>
      <c r="Q79" s="52"/>
    </row>
    <row r="80" ht="12.75" customHeight="1">
      <c r="A80" s="55">
        <v>13.0</v>
      </c>
      <c r="B80" s="56" t="s">
        <v>521</v>
      </c>
      <c r="C80" s="56" t="s">
        <v>495</v>
      </c>
      <c r="D80" s="56" t="s">
        <v>516</v>
      </c>
      <c r="E80" s="57">
        <v>133.5</v>
      </c>
      <c r="F80" s="57">
        <v>8.4</v>
      </c>
      <c r="G80" s="57">
        <v>100.72</v>
      </c>
      <c r="H80" s="57">
        <v>163.45</v>
      </c>
      <c r="I80" s="52" t="str">
        <f t="shared" si="2"/>
        <v>1</v>
      </c>
      <c r="J80" s="52" t="str">
        <f t="shared" si="3"/>
        <v>0</v>
      </c>
      <c r="K80" s="52" t="str">
        <f t="shared" si="4"/>
        <v>0</v>
      </c>
      <c r="L80" s="52" t="str">
        <f t="shared" si="5"/>
        <v>0</v>
      </c>
      <c r="M80" s="52" t="str">
        <f t="shared" si="6"/>
        <v>1</v>
      </c>
      <c r="N80" s="52"/>
      <c r="O80" s="52"/>
      <c r="P80" s="52"/>
      <c r="Q80" s="52"/>
    </row>
    <row r="81" ht="12.75" customHeight="1">
      <c r="A81" s="55">
        <v>87.0</v>
      </c>
      <c r="B81" s="56" t="s">
        <v>522</v>
      </c>
      <c r="C81" s="56" t="s">
        <v>523</v>
      </c>
      <c r="D81" s="56" t="s">
        <v>516</v>
      </c>
      <c r="E81" s="57">
        <v>19.21</v>
      </c>
      <c r="F81" s="57">
        <v>3.81</v>
      </c>
      <c r="G81" s="57">
        <v>77.15</v>
      </c>
      <c r="H81" s="57">
        <v>36.28</v>
      </c>
      <c r="I81" s="52" t="str">
        <f t="shared" si="2"/>
        <v>0</v>
      </c>
      <c r="J81" s="52" t="str">
        <f t="shared" si="3"/>
        <v>0</v>
      </c>
      <c r="K81" s="52" t="str">
        <f t="shared" si="4"/>
        <v>0</v>
      </c>
      <c r="L81" s="52" t="str">
        <f t="shared" si="5"/>
        <v>0</v>
      </c>
      <c r="M81" s="52" t="str">
        <f t="shared" si="6"/>
        <v>0</v>
      </c>
      <c r="N81" s="52"/>
      <c r="O81" s="52"/>
      <c r="P81" s="52"/>
      <c r="Q81" s="52"/>
    </row>
    <row r="82" ht="12.75" customHeight="1">
      <c r="A82" s="55">
        <v>5.0</v>
      </c>
      <c r="B82" s="56" t="s">
        <v>524</v>
      </c>
      <c r="C82" s="56" t="s">
        <v>437</v>
      </c>
      <c r="D82" s="56" t="s">
        <v>516</v>
      </c>
      <c r="E82" s="57">
        <v>232.57</v>
      </c>
      <c r="F82" s="57">
        <v>10.27</v>
      </c>
      <c r="G82" s="57">
        <v>177.57</v>
      </c>
      <c r="H82" s="57">
        <v>173.54</v>
      </c>
      <c r="I82" s="52" t="str">
        <f t="shared" si="2"/>
        <v>1</v>
      </c>
      <c r="J82" s="52" t="str">
        <f t="shared" si="3"/>
        <v>0</v>
      </c>
      <c r="K82" s="52" t="str">
        <f t="shared" si="4"/>
        <v>0</v>
      </c>
      <c r="L82" s="52" t="str">
        <f t="shared" si="5"/>
        <v>1</v>
      </c>
      <c r="M82" s="52" t="str">
        <f t="shared" si="6"/>
        <v>2</v>
      </c>
      <c r="N82" s="52"/>
      <c r="O82" s="52"/>
      <c r="P82" s="52"/>
      <c r="Q82" s="52"/>
    </row>
    <row r="83" ht="12.75" customHeight="1">
      <c r="A83" s="55">
        <v>38.0</v>
      </c>
      <c r="B83" s="56" t="s">
        <v>525</v>
      </c>
      <c r="C83" s="56" t="s">
        <v>443</v>
      </c>
      <c r="D83" s="56" t="s">
        <v>516</v>
      </c>
      <c r="E83" s="57">
        <v>90.49</v>
      </c>
      <c r="F83" s="57">
        <v>4.83</v>
      </c>
      <c r="G83" s="57">
        <v>81.95</v>
      </c>
      <c r="H83" s="57">
        <v>46.72</v>
      </c>
      <c r="I83" s="52" t="str">
        <f t="shared" si="2"/>
        <v>0</v>
      </c>
      <c r="J83" s="52" t="str">
        <f t="shared" si="3"/>
        <v>0</v>
      </c>
      <c r="K83" s="52" t="str">
        <f t="shared" si="4"/>
        <v>0</v>
      </c>
      <c r="L83" s="52" t="str">
        <f t="shared" si="5"/>
        <v>0</v>
      </c>
      <c r="M83" s="52" t="str">
        <f t="shared" si="6"/>
        <v>0</v>
      </c>
      <c r="N83" s="52"/>
      <c r="O83" s="52"/>
      <c r="P83" s="52"/>
      <c r="Q83" s="52"/>
    </row>
    <row r="84" ht="12.75" customHeight="1">
      <c r="A84" s="55">
        <v>23.0</v>
      </c>
      <c r="B84" s="56" t="s">
        <v>526</v>
      </c>
      <c r="C84" s="56" t="s">
        <v>443</v>
      </c>
      <c r="D84" s="56" t="s">
        <v>516</v>
      </c>
      <c r="E84" s="57">
        <v>112.94</v>
      </c>
      <c r="F84" s="57">
        <v>7.43</v>
      </c>
      <c r="G84" s="57">
        <v>82.36</v>
      </c>
      <c r="H84" s="57">
        <v>92.49</v>
      </c>
      <c r="I84" s="52" t="str">
        <f t="shared" si="2"/>
        <v>0</v>
      </c>
      <c r="J84" s="52" t="str">
        <f t="shared" si="3"/>
        <v>0</v>
      </c>
      <c r="K84" s="52" t="str">
        <f t="shared" si="4"/>
        <v>0</v>
      </c>
      <c r="L84" s="52" t="str">
        <f t="shared" si="5"/>
        <v>0</v>
      </c>
      <c r="M84" s="52" t="str">
        <f t="shared" si="6"/>
        <v>0</v>
      </c>
      <c r="N84" s="52"/>
      <c r="O84" s="52"/>
      <c r="P84" s="52"/>
      <c r="Q84" s="52"/>
    </row>
    <row r="85" ht="12.75" customHeight="1">
      <c r="A85" s="55">
        <v>4.0</v>
      </c>
      <c r="B85" s="56" t="s">
        <v>527</v>
      </c>
      <c r="C85" s="56" t="s">
        <v>443</v>
      </c>
      <c r="D85" s="56" t="s">
        <v>516</v>
      </c>
      <c r="E85" s="57">
        <v>222.88</v>
      </c>
      <c r="F85" s="57">
        <v>20.96</v>
      </c>
      <c r="G85" s="57">
        <v>166.99</v>
      </c>
      <c r="H85" s="57">
        <v>277.02</v>
      </c>
      <c r="I85" s="52" t="str">
        <f t="shared" si="2"/>
        <v>1</v>
      </c>
      <c r="J85" s="52" t="str">
        <f t="shared" si="3"/>
        <v>1</v>
      </c>
      <c r="K85" s="52" t="str">
        <f t="shared" si="4"/>
        <v>0</v>
      </c>
      <c r="L85" s="52" t="str">
        <f t="shared" si="5"/>
        <v>1</v>
      </c>
      <c r="M85" s="52" t="str">
        <f t="shared" si="6"/>
        <v>3</v>
      </c>
      <c r="N85" s="52"/>
      <c r="O85" s="52"/>
      <c r="P85" s="52"/>
      <c r="Q85" s="52"/>
    </row>
    <row r="86" ht="12.75" customHeight="1">
      <c r="A86" s="55">
        <v>60.0</v>
      </c>
      <c r="B86" s="56" t="s">
        <v>528</v>
      </c>
      <c r="C86" s="56" t="s">
        <v>443</v>
      </c>
      <c r="D86" s="56" t="s">
        <v>529</v>
      </c>
      <c r="E86" s="57">
        <v>62.9</v>
      </c>
      <c r="F86" s="57">
        <v>4.04</v>
      </c>
      <c r="G86" s="57">
        <v>35.37</v>
      </c>
      <c r="H86" s="57">
        <v>82.29</v>
      </c>
      <c r="I86" s="52" t="str">
        <f t="shared" si="2"/>
        <v>0</v>
      </c>
      <c r="J86" s="52" t="str">
        <f t="shared" si="3"/>
        <v>0</v>
      </c>
      <c r="K86" s="52" t="str">
        <f t="shared" si="4"/>
        <v>0</v>
      </c>
      <c r="L86" s="52" t="str">
        <f t="shared" si="5"/>
        <v>0</v>
      </c>
      <c r="M86" s="52" t="str">
        <f t="shared" si="6"/>
        <v>0</v>
      </c>
      <c r="N86" s="52"/>
      <c r="O86" s="52"/>
      <c r="P86" s="52"/>
      <c r="Q86" s="52"/>
    </row>
    <row r="87" ht="12.75" customHeight="1">
      <c r="A87" s="55">
        <v>10.0</v>
      </c>
      <c r="B87" s="56" t="s">
        <v>530</v>
      </c>
      <c r="C87" s="56" t="s">
        <v>443</v>
      </c>
      <c r="D87" s="56" t="s">
        <v>529</v>
      </c>
      <c r="E87" s="57">
        <v>256.33</v>
      </c>
      <c r="F87" s="57">
        <v>9.05</v>
      </c>
      <c r="G87" s="57">
        <v>104.91</v>
      </c>
      <c r="H87" s="57">
        <v>243.74</v>
      </c>
      <c r="I87" s="52" t="str">
        <f t="shared" si="2"/>
        <v>1</v>
      </c>
      <c r="J87" s="52" t="str">
        <f t="shared" si="3"/>
        <v>0</v>
      </c>
      <c r="K87" s="52" t="str">
        <f t="shared" si="4"/>
        <v>0</v>
      </c>
      <c r="L87" s="52" t="str">
        <f t="shared" si="5"/>
        <v>1</v>
      </c>
      <c r="M87" s="52" t="str">
        <f t="shared" si="6"/>
        <v>2</v>
      </c>
      <c r="N87" s="52"/>
      <c r="O87" s="52"/>
      <c r="P87" s="52"/>
      <c r="Q87" s="52"/>
    </row>
    <row r="88" ht="12.75" customHeight="1">
      <c r="A88" s="55">
        <v>45.0</v>
      </c>
      <c r="B88" s="56" t="s">
        <v>531</v>
      </c>
      <c r="C88" s="56" t="s">
        <v>532</v>
      </c>
      <c r="D88" s="56" t="s">
        <v>533</v>
      </c>
      <c r="E88" s="57">
        <v>50.22</v>
      </c>
      <c r="F88" s="57">
        <v>5.95</v>
      </c>
      <c r="G88" s="57">
        <v>54.58</v>
      </c>
      <c r="H88" s="57">
        <v>72.72</v>
      </c>
      <c r="I88" s="52" t="str">
        <f t="shared" si="2"/>
        <v>0</v>
      </c>
      <c r="J88" s="52" t="str">
        <f t="shared" si="3"/>
        <v>0</v>
      </c>
      <c r="K88" s="52" t="str">
        <f t="shared" si="4"/>
        <v>0</v>
      </c>
      <c r="L88" s="52" t="str">
        <f t="shared" si="5"/>
        <v>0</v>
      </c>
      <c r="M88" s="52" t="str">
        <f t="shared" si="6"/>
        <v>0</v>
      </c>
      <c r="N88" s="52"/>
      <c r="O88" s="52"/>
      <c r="P88" s="52"/>
      <c r="Q88" s="52"/>
    </row>
    <row r="89" ht="12.75" customHeight="1">
      <c r="A89" s="55">
        <v>58.0</v>
      </c>
      <c r="B89" s="56" t="s">
        <v>534</v>
      </c>
      <c r="C89" s="56" t="s">
        <v>443</v>
      </c>
      <c r="D89" s="56" t="s">
        <v>533</v>
      </c>
      <c r="E89" s="57">
        <v>30.14</v>
      </c>
      <c r="F89" s="57">
        <v>5.64</v>
      </c>
      <c r="G89" s="57">
        <v>47.14</v>
      </c>
      <c r="H89" s="57">
        <v>196.87</v>
      </c>
      <c r="I89" s="52" t="str">
        <f t="shared" si="2"/>
        <v>0</v>
      </c>
      <c r="J89" s="52" t="str">
        <f t="shared" si="3"/>
        <v>0</v>
      </c>
      <c r="K89" s="52" t="str">
        <f t="shared" si="4"/>
        <v>0</v>
      </c>
      <c r="L89" s="52" t="str">
        <f t="shared" si="5"/>
        <v>1</v>
      </c>
      <c r="M89" s="52" t="str">
        <f t="shared" si="6"/>
        <v>1</v>
      </c>
      <c r="N89" s="52"/>
      <c r="O89" s="52"/>
      <c r="P89" s="52"/>
      <c r="Q89" s="52"/>
    </row>
    <row r="90" ht="12.75" customHeight="1">
      <c r="A90" s="55">
        <v>31.0</v>
      </c>
      <c r="B90" s="56" t="s">
        <v>535</v>
      </c>
      <c r="C90" s="56" t="s">
        <v>443</v>
      </c>
      <c r="D90" s="56" t="s">
        <v>536</v>
      </c>
      <c r="E90" s="57">
        <v>34.27</v>
      </c>
      <c r="F90" s="57">
        <v>8.88</v>
      </c>
      <c r="G90" s="57">
        <v>85.94</v>
      </c>
      <c r="H90" s="57">
        <v>287.02</v>
      </c>
      <c r="I90" s="52" t="str">
        <f t="shared" si="2"/>
        <v>0</v>
      </c>
      <c r="J90" s="52" t="str">
        <f t="shared" si="3"/>
        <v>0</v>
      </c>
      <c r="K90" s="52" t="str">
        <f t="shared" si="4"/>
        <v>0</v>
      </c>
      <c r="L90" s="52" t="str">
        <f t="shared" si="5"/>
        <v>1</v>
      </c>
      <c r="M90" s="52" t="str">
        <f t="shared" si="6"/>
        <v>1</v>
      </c>
      <c r="N90" s="52"/>
      <c r="O90" s="52"/>
      <c r="P90" s="52"/>
      <c r="Q90" s="52"/>
    </row>
    <row r="91" ht="12.75" customHeight="1">
      <c r="A91" s="55">
        <v>83.0</v>
      </c>
      <c r="B91" s="56" t="s">
        <v>537</v>
      </c>
      <c r="C91" s="56" t="s">
        <v>538</v>
      </c>
      <c r="D91" s="56" t="s">
        <v>539</v>
      </c>
      <c r="E91" s="57">
        <v>37.05</v>
      </c>
      <c r="F91" s="57">
        <v>4.52</v>
      </c>
      <c r="G91" s="57">
        <v>29.15</v>
      </c>
      <c r="H91" s="57">
        <v>104.3</v>
      </c>
      <c r="I91" s="52" t="str">
        <f t="shared" si="2"/>
        <v>0</v>
      </c>
      <c r="J91" s="52" t="str">
        <f t="shared" si="3"/>
        <v>0</v>
      </c>
      <c r="K91" s="52" t="str">
        <f t="shared" si="4"/>
        <v>0</v>
      </c>
      <c r="L91" s="52" t="str">
        <f t="shared" si="5"/>
        <v>0</v>
      </c>
      <c r="M91" s="52" t="str">
        <f t="shared" si="6"/>
        <v>0</v>
      </c>
      <c r="N91" s="52"/>
      <c r="O91" s="52"/>
      <c r="P91" s="52"/>
      <c r="Q91" s="52"/>
    </row>
    <row r="92" ht="12.75" customHeight="1">
      <c r="A92" s="55">
        <v>43.0</v>
      </c>
      <c r="B92" s="56" t="s">
        <v>540</v>
      </c>
      <c r="C92" s="56" t="s">
        <v>443</v>
      </c>
      <c r="D92" s="56" t="s">
        <v>539</v>
      </c>
      <c r="E92" s="57">
        <v>73.06</v>
      </c>
      <c r="F92" s="57">
        <v>2.54</v>
      </c>
      <c r="G92" s="57">
        <v>74.71</v>
      </c>
      <c r="H92" s="57">
        <v>70.2</v>
      </c>
      <c r="I92" s="52" t="str">
        <f t="shared" si="2"/>
        <v>0</v>
      </c>
      <c r="J92" s="52" t="str">
        <f t="shared" si="3"/>
        <v>0</v>
      </c>
      <c r="K92" s="52" t="str">
        <f t="shared" si="4"/>
        <v>0</v>
      </c>
      <c r="L92" s="52" t="str">
        <f t="shared" si="5"/>
        <v>0</v>
      </c>
      <c r="M92" s="52" t="str">
        <f t="shared" si="6"/>
        <v>0</v>
      </c>
      <c r="N92" s="52"/>
      <c r="O92" s="52"/>
      <c r="P92" s="52"/>
      <c r="Q92" s="52"/>
    </row>
    <row r="93" ht="12.75" customHeight="1">
      <c r="A93" s="55">
        <v>89.0</v>
      </c>
      <c r="B93" s="56" t="s">
        <v>541</v>
      </c>
      <c r="C93" s="56" t="s">
        <v>443</v>
      </c>
      <c r="D93" s="56" t="s">
        <v>539</v>
      </c>
      <c r="E93" s="57">
        <v>19.82</v>
      </c>
      <c r="F93" s="57">
        <v>4.35</v>
      </c>
      <c r="G93" s="57">
        <v>36.59</v>
      </c>
      <c r="H93" s="57">
        <v>166.09</v>
      </c>
      <c r="I93" s="52" t="str">
        <f t="shared" si="2"/>
        <v>0</v>
      </c>
      <c r="J93" s="52" t="str">
        <f t="shared" si="3"/>
        <v>0</v>
      </c>
      <c r="K93" s="52" t="str">
        <f t="shared" si="4"/>
        <v>0</v>
      </c>
      <c r="L93" s="52" t="str">
        <f t="shared" si="5"/>
        <v>1</v>
      </c>
      <c r="M93" s="52" t="str">
        <f t="shared" si="6"/>
        <v>1</v>
      </c>
      <c r="N93" s="52"/>
      <c r="O93" s="52"/>
      <c r="P93" s="52"/>
      <c r="Q93" s="52"/>
    </row>
    <row r="94" ht="12.75" customHeight="1">
      <c r="A94" s="55">
        <v>16.0</v>
      </c>
      <c r="B94" s="56" t="s">
        <v>542</v>
      </c>
      <c r="C94" s="56" t="s">
        <v>443</v>
      </c>
      <c r="D94" s="56" t="s">
        <v>539</v>
      </c>
      <c r="E94" s="57">
        <v>89.13</v>
      </c>
      <c r="F94" s="57">
        <v>7.58</v>
      </c>
      <c r="G94" s="57">
        <v>104.46</v>
      </c>
      <c r="H94" s="57">
        <v>171.54</v>
      </c>
      <c r="I94" s="52" t="str">
        <f t="shared" si="2"/>
        <v>0</v>
      </c>
      <c r="J94" s="52" t="str">
        <f t="shared" si="3"/>
        <v>0</v>
      </c>
      <c r="K94" s="52" t="str">
        <f t="shared" si="4"/>
        <v>0</v>
      </c>
      <c r="L94" s="52" t="str">
        <f t="shared" si="5"/>
        <v>1</v>
      </c>
      <c r="M94" s="52" t="str">
        <f t="shared" si="6"/>
        <v>1</v>
      </c>
      <c r="N94" s="52"/>
      <c r="O94" s="52"/>
      <c r="P94" s="52"/>
      <c r="Q94" s="52"/>
    </row>
    <row r="95" ht="12.75" customHeight="1">
      <c r="A95" s="55">
        <v>30.0</v>
      </c>
      <c r="B95" s="56" t="s">
        <v>543</v>
      </c>
      <c r="C95" s="56" t="s">
        <v>467</v>
      </c>
      <c r="D95" s="56" t="s">
        <v>544</v>
      </c>
      <c r="E95" s="57">
        <v>92.41</v>
      </c>
      <c r="F95" s="57">
        <v>2.17</v>
      </c>
      <c r="G95" s="57">
        <v>150.87</v>
      </c>
      <c r="H95" s="57">
        <v>73.0</v>
      </c>
      <c r="I95" s="52" t="str">
        <f t="shared" si="2"/>
        <v>0</v>
      </c>
      <c r="J95" s="52" t="str">
        <f t="shared" si="3"/>
        <v>0</v>
      </c>
      <c r="K95" s="52" t="str">
        <f t="shared" si="4"/>
        <v>0</v>
      </c>
      <c r="L95" s="52" t="str">
        <f t="shared" si="5"/>
        <v>0</v>
      </c>
      <c r="M95" s="52" t="str">
        <f t="shared" si="6"/>
        <v>0</v>
      </c>
      <c r="N95" s="52"/>
      <c r="O95" s="52"/>
      <c r="P95" s="52"/>
      <c r="Q95" s="52"/>
    </row>
    <row r="96" ht="12.75" customHeight="1">
      <c r="A96" s="55">
        <v>93.0</v>
      </c>
      <c r="B96" s="56" t="s">
        <v>545</v>
      </c>
      <c r="C96" s="56" t="s">
        <v>437</v>
      </c>
      <c r="D96" s="56" t="s">
        <v>544</v>
      </c>
      <c r="E96" s="57">
        <v>29.58</v>
      </c>
      <c r="F96" s="57">
        <v>4.24</v>
      </c>
      <c r="G96" s="57">
        <v>44.42</v>
      </c>
      <c r="H96" s="57">
        <v>28.73</v>
      </c>
      <c r="I96" s="52" t="str">
        <f t="shared" si="2"/>
        <v>0</v>
      </c>
      <c r="J96" s="52" t="str">
        <f t="shared" si="3"/>
        <v>0</v>
      </c>
      <c r="K96" s="52" t="str">
        <f t="shared" si="4"/>
        <v>0</v>
      </c>
      <c r="L96" s="52" t="str">
        <f t="shared" si="5"/>
        <v>0</v>
      </c>
      <c r="M96" s="52" t="str">
        <f t="shared" si="6"/>
        <v>0</v>
      </c>
      <c r="N96" s="52"/>
      <c r="O96" s="52"/>
      <c r="P96" s="52"/>
      <c r="Q96" s="52"/>
    </row>
    <row r="97" ht="12.75" customHeight="1">
      <c r="A97" s="55">
        <v>84.0</v>
      </c>
      <c r="B97" s="56" t="s">
        <v>546</v>
      </c>
      <c r="C97" s="56" t="s">
        <v>443</v>
      </c>
      <c r="D97" s="56" t="s">
        <v>544</v>
      </c>
      <c r="E97" s="57">
        <v>22.58</v>
      </c>
      <c r="F97" s="57">
        <v>3.59</v>
      </c>
      <c r="G97" s="57">
        <v>49.62</v>
      </c>
      <c r="H97" s="57">
        <v>54.08</v>
      </c>
      <c r="I97" s="52" t="str">
        <f t="shared" si="2"/>
        <v>0</v>
      </c>
      <c r="J97" s="52" t="str">
        <f t="shared" si="3"/>
        <v>0</v>
      </c>
      <c r="K97" s="52" t="str">
        <f t="shared" si="4"/>
        <v>0</v>
      </c>
      <c r="L97" s="52" t="str">
        <f t="shared" si="5"/>
        <v>0</v>
      </c>
      <c r="M97" s="52" t="str">
        <f t="shared" si="6"/>
        <v>0</v>
      </c>
      <c r="N97" s="52"/>
      <c r="O97" s="52"/>
      <c r="P97" s="52"/>
      <c r="Q97" s="52"/>
    </row>
    <row r="98" ht="12.75" customHeight="1">
      <c r="A98" s="55">
        <v>33.0</v>
      </c>
      <c r="B98" s="56" t="s">
        <v>547</v>
      </c>
      <c r="C98" s="56" t="s">
        <v>443</v>
      </c>
      <c r="D98" s="56" t="s">
        <v>544</v>
      </c>
      <c r="E98" s="57">
        <v>39.16</v>
      </c>
      <c r="F98" s="57">
        <v>5.97</v>
      </c>
      <c r="G98" s="57">
        <v>100.17</v>
      </c>
      <c r="H98" s="57">
        <v>82.93</v>
      </c>
      <c r="I98" s="52" t="str">
        <f t="shared" si="2"/>
        <v>0</v>
      </c>
      <c r="J98" s="52" t="str">
        <f t="shared" si="3"/>
        <v>0</v>
      </c>
      <c r="K98" s="52" t="str">
        <f t="shared" si="4"/>
        <v>0</v>
      </c>
      <c r="L98" s="52" t="str">
        <f t="shared" si="5"/>
        <v>0</v>
      </c>
      <c r="M98" s="52" t="str">
        <f t="shared" si="6"/>
        <v>0</v>
      </c>
      <c r="N98" s="52"/>
      <c r="O98" s="52"/>
      <c r="P98" s="52"/>
      <c r="Q98" s="52"/>
    </row>
    <row r="99" ht="12.75" customHeight="1">
      <c r="A99" s="55">
        <v>26.0</v>
      </c>
      <c r="B99" s="56" t="s">
        <v>548</v>
      </c>
      <c r="C99" s="56" t="s">
        <v>443</v>
      </c>
      <c r="D99" s="56" t="s">
        <v>544</v>
      </c>
      <c r="E99" s="57">
        <v>67.75</v>
      </c>
      <c r="F99" s="57">
        <v>2.57</v>
      </c>
      <c r="G99" s="57">
        <v>165.97</v>
      </c>
      <c r="H99" s="57">
        <v>103.97</v>
      </c>
      <c r="I99" s="52" t="str">
        <f t="shared" si="2"/>
        <v>0</v>
      </c>
      <c r="J99" s="52" t="str">
        <f t="shared" si="3"/>
        <v>0</v>
      </c>
      <c r="K99" s="52" t="str">
        <f t="shared" si="4"/>
        <v>0</v>
      </c>
      <c r="L99" s="52" t="str">
        <f t="shared" si="5"/>
        <v>0</v>
      </c>
      <c r="M99" s="52" t="str">
        <f t="shared" si="6"/>
        <v>0</v>
      </c>
      <c r="N99" s="52"/>
      <c r="O99" s="52"/>
      <c r="P99" s="52"/>
      <c r="Q99" s="52"/>
    </row>
    <row r="100" ht="12.75" customHeight="1">
      <c r="A100" s="55">
        <v>69.0</v>
      </c>
      <c r="B100" s="56" t="s">
        <v>549</v>
      </c>
      <c r="C100" s="56" t="s">
        <v>458</v>
      </c>
      <c r="D100" s="56" t="s">
        <v>550</v>
      </c>
      <c r="E100" s="57">
        <v>41.23</v>
      </c>
      <c r="F100" s="57">
        <v>1.64</v>
      </c>
      <c r="G100" s="57">
        <v>169.33</v>
      </c>
      <c r="H100" s="57">
        <v>26.83</v>
      </c>
      <c r="I100" s="52" t="str">
        <f t="shared" si="2"/>
        <v>0</v>
      </c>
      <c r="J100" s="52" t="str">
        <f t="shared" si="3"/>
        <v>0</v>
      </c>
      <c r="K100" s="52" t="str">
        <f t="shared" si="4"/>
        <v>0</v>
      </c>
      <c r="L100" s="52" t="str">
        <f t="shared" si="5"/>
        <v>0</v>
      </c>
      <c r="M100" s="52" t="str">
        <f t="shared" si="6"/>
        <v>0</v>
      </c>
      <c r="N100" s="52"/>
      <c r="O100" s="52"/>
      <c r="P100" s="52"/>
      <c r="Q100" s="52"/>
    </row>
    <row r="101" ht="12.75" customHeight="1">
      <c r="A101" s="55">
        <v>94.0</v>
      </c>
      <c r="B101" s="56" t="s">
        <v>551</v>
      </c>
      <c r="C101" s="56" t="s">
        <v>443</v>
      </c>
      <c r="D101" s="56" t="s">
        <v>550</v>
      </c>
      <c r="E101" s="57">
        <v>32.81</v>
      </c>
      <c r="F101" s="57">
        <v>3.54</v>
      </c>
      <c r="G101" s="57">
        <v>28.37</v>
      </c>
      <c r="H101" s="57">
        <v>79.62</v>
      </c>
      <c r="I101" s="52" t="str">
        <f t="shared" si="2"/>
        <v>0</v>
      </c>
      <c r="J101" s="52" t="str">
        <f t="shared" si="3"/>
        <v>0</v>
      </c>
      <c r="K101" s="52" t="str">
        <f t="shared" si="4"/>
        <v>0</v>
      </c>
      <c r="L101" s="52" t="str">
        <f t="shared" si="5"/>
        <v>0</v>
      </c>
      <c r="M101" s="52" t="str">
        <f t="shared" si="6"/>
        <v>0</v>
      </c>
      <c r="N101" s="52"/>
      <c r="O101" s="52"/>
      <c r="P101" s="52"/>
      <c r="Q101" s="52"/>
    </row>
    <row r="102" ht="12.75" customHeight="1">
      <c r="A102" s="55">
        <v>91.0</v>
      </c>
      <c r="B102" s="56" t="s">
        <v>552</v>
      </c>
      <c r="C102" s="56" t="s">
        <v>458</v>
      </c>
      <c r="D102" s="56" t="s">
        <v>553</v>
      </c>
      <c r="E102" s="57">
        <v>45.68</v>
      </c>
      <c r="F102" s="57">
        <v>1.1</v>
      </c>
      <c r="G102" s="57">
        <v>97.35</v>
      </c>
      <c r="H102" s="57">
        <v>23.76</v>
      </c>
      <c r="I102" s="52" t="str">
        <f t="shared" si="2"/>
        <v>0</v>
      </c>
      <c r="J102" s="52" t="str">
        <f t="shared" si="3"/>
        <v>0</v>
      </c>
      <c r="K102" s="52" t="str">
        <f t="shared" si="4"/>
        <v>0</v>
      </c>
      <c r="L102" s="52" t="str">
        <f t="shared" si="5"/>
        <v>0</v>
      </c>
      <c r="M102" s="52" t="str">
        <f t="shared" si="6"/>
        <v>0</v>
      </c>
      <c r="N102" s="52"/>
      <c r="O102" s="52"/>
      <c r="P102" s="52"/>
      <c r="Q102" s="52"/>
    </row>
    <row r="103" ht="12.75" customHeight="1">
      <c r="A103" s="55">
        <v>65.0</v>
      </c>
      <c r="B103" s="56" t="s">
        <v>554</v>
      </c>
      <c r="C103" s="56" t="s">
        <v>430</v>
      </c>
      <c r="D103" s="56" t="s">
        <v>553</v>
      </c>
      <c r="E103" s="57">
        <v>38.99</v>
      </c>
      <c r="F103" s="57">
        <v>2.11</v>
      </c>
      <c r="G103" s="57">
        <v>71.36</v>
      </c>
      <c r="H103" s="57">
        <v>46.84</v>
      </c>
      <c r="I103" s="52" t="str">
        <f t="shared" si="2"/>
        <v>0</v>
      </c>
      <c r="J103" s="52" t="str">
        <f t="shared" si="3"/>
        <v>0</v>
      </c>
      <c r="K103" s="52" t="str">
        <f t="shared" si="4"/>
        <v>0</v>
      </c>
      <c r="L103" s="52" t="str">
        <f t="shared" si="5"/>
        <v>0</v>
      </c>
      <c r="M103" s="52" t="str">
        <f t="shared" si="6"/>
        <v>0</v>
      </c>
      <c r="N103" s="52"/>
      <c r="O103" s="52"/>
      <c r="P103" s="52"/>
      <c r="Q103" s="52"/>
    </row>
    <row r="104" ht="12.75" customHeight="1">
      <c r="A104" s="55">
        <v>72.0</v>
      </c>
      <c r="B104" s="56" t="s">
        <v>555</v>
      </c>
      <c r="C104" s="56" t="s">
        <v>467</v>
      </c>
      <c r="D104" s="56" t="s">
        <v>553</v>
      </c>
      <c r="E104" s="57">
        <v>41.62</v>
      </c>
      <c r="F104" s="57">
        <v>1.4</v>
      </c>
      <c r="G104" s="57">
        <v>116.68</v>
      </c>
      <c r="H104" s="57">
        <v>30.63</v>
      </c>
      <c r="I104" s="52" t="str">
        <f t="shared" si="2"/>
        <v>0</v>
      </c>
      <c r="J104" s="52" t="str">
        <f t="shared" si="3"/>
        <v>0</v>
      </c>
      <c r="K104" s="52" t="str">
        <f t="shared" si="4"/>
        <v>0</v>
      </c>
      <c r="L104" s="52" t="str">
        <f t="shared" si="5"/>
        <v>0</v>
      </c>
      <c r="M104" s="52" t="str">
        <f t="shared" si="6"/>
        <v>0</v>
      </c>
      <c r="N104" s="52"/>
      <c r="O104" s="52"/>
      <c r="P104" s="52"/>
      <c r="Q104" s="52"/>
    </row>
    <row r="105" ht="12.75" customHeight="1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</row>
    <row r="106" ht="12.75" customHeight="1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</row>
    <row r="107" ht="12.75" customHeight="1">
      <c r="A107" s="59" t="s">
        <v>556</v>
      </c>
      <c r="B107" s="56" t="s">
        <v>254</v>
      </c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</row>
    <row r="108" ht="12.75" customHeight="1">
      <c r="A108" s="60" t="s">
        <v>154</v>
      </c>
      <c r="B108" s="60" t="s">
        <v>409</v>
      </c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</row>
    <row r="109" ht="12.75" customHeight="1">
      <c r="A109" s="61" t="s">
        <v>557</v>
      </c>
      <c r="B109" s="61" t="s">
        <v>558</v>
      </c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</row>
    <row r="110" ht="12.75" customHeight="1">
      <c r="A110" s="52" t="s">
        <v>404</v>
      </c>
      <c r="B110" s="52" t="s">
        <v>220</v>
      </c>
      <c r="C110" s="52" t="s">
        <v>405</v>
      </c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</row>
    <row r="111" ht="12.75" customHeight="1">
      <c r="A111" s="55">
        <v>10.0</v>
      </c>
      <c r="B111" s="56" t="s">
        <v>530</v>
      </c>
      <c r="C111" s="56" t="s">
        <v>443</v>
      </c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</row>
    <row r="112" ht="12.75" customHeight="1">
      <c r="A112" s="55">
        <v>4.0</v>
      </c>
      <c r="B112" s="56" t="s">
        <v>527</v>
      </c>
      <c r="C112" s="56" t="s">
        <v>443</v>
      </c>
      <c r="D112" s="52"/>
      <c r="E112" s="52"/>
      <c r="F112" s="52"/>
      <c r="G112" s="52"/>
      <c r="H112" s="62"/>
      <c r="I112" s="63"/>
      <c r="J112" s="52"/>
      <c r="K112" s="52"/>
      <c r="L112" s="52"/>
      <c r="M112" s="52"/>
      <c r="N112" s="52"/>
      <c r="O112" s="52"/>
      <c r="P112" s="52"/>
      <c r="Q112" s="52"/>
    </row>
    <row r="113" ht="12.75" customHeight="1">
      <c r="A113" s="55">
        <v>2.0</v>
      </c>
      <c r="B113" s="56" t="s">
        <v>460</v>
      </c>
      <c r="C113" s="56" t="s">
        <v>443</v>
      </c>
      <c r="D113" s="52"/>
      <c r="E113" s="52"/>
      <c r="F113" s="52"/>
      <c r="G113" s="52"/>
      <c r="H113" s="62"/>
      <c r="I113" s="63"/>
      <c r="J113" s="52"/>
      <c r="K113" s="52"/>
      <c r="L113" s="52"/>
      <c r="M113" s="52"/>
      <c r="N113" s="52"/>
      <c r="O113" s="52"/>
      <c r="P113" s="52"/>
      <c r="Q113" s="52"/>
    </row>
    <row r="114" ht="12.75" customHeight="1">
      <c r="A114" s="55">
        <v>1.0</v>
      </c>
      <c r="B114" s="56" t="s">
        <v>451</v>
      </c>
      <c r="C114" s="56" t="s">
        <v>443</v>
      </c>
      <c r="D114" s="52"/>
      <c r="E114" s="52"/>
      <c r="F114" s="52"/>
      <c r="G114" s="52"/>
      <c r="J114" s="52"/>
      <c r="K114" s="52"/>
      <c r="L114" s="52"/>
      <c r="M114" s="52"/>
      <c r="N114" s="53" t="s">
        <v>559</v>
      </c>
      <c r="O114" s="52"/>
      <c r="P114" s="52"/>
      <c r="Q114" s="52"/>
    </row>
    <row r="115" ht="12.75" customHeight="1">
      <c r="A115" s="52"/>
      <c r="B115" s="52"/>
      <c r="C115" s="52"/>
      <c r="D115" s="52"/>
      <c r="E115" s="52"/>
      <c r="F115" s="52"/>
      <c r="G115" s="52"/>
      <c r="J115" s="52"/>
      <c r="K115" s="52"/>
      <c r="L115" s="52"/>
      <c r="M115" s="52"/>
      <c r="N115" s="53"/>
      <c r="O115" s="52"/>
      <c r="P115" s="52"/>
      <c r="Q115" s="52"/>
    </row>
    <row r="116" ht="12.75" customHeight="1">
      <c r="A116" s="52"/>
      <c r="B116" s="52"/>
      <c r="C116" s="52"/>
      <c r="D116" s="52"/>
      <c r="E116" s="52"/>
      <c r="F116" s="52"/>
      <c r="G116" s="52"/>
      <c r="J116" s="52"/>
      <c r="K116" s="52"/>
      <c r="L116" s="52"/>
      <c r="M116" s="52"/>
      <c r="N116" s="53" t="s">
        <v>560</v>
      </c>
      <c r="O116" s="52"/>
      <c r="P116" s="52"/>
      <c r="Q116" s="52"/>
    </row>
    <row r="117" ht="12.75" customHeight="1">
      <c r="A117" s="59" t="s">
        <v>561</v>
      </c>
      <c r="B117" s="52"/>
      <c r="C117" s="52"/>
      <c r="D117" s="52"/>
      <c r="E117" s="52"/>
      <c r="F117" s="52"/>
      <c r="G117" s="52"/>
      <c r="J117" s="52"/>
      <c r="K117" s="52"/>
      <c r="L117" s="52"/>
      <c r="M117" s="52"/>
      <c r="N117" s="53"/>
      <c r="O117" s="52"/>
      <c r="P117" s="52"/>
      <c r="Q117" s="52"/>
    </row>
    <row r="118" ht="12.75" customHeight="1">
      <c r="A118" s="52" t="s">
        <v>562</v>
      </c>
      <c r="B118" s="66">
        <v>0.5</v>
      </c>
      <c r="C118" s="52"/>
      <c r="D118" s="52"/>
      <c r="E118" s="52"/>
      <c r="F118" s="52"/>
      <c r="G118" s="52"/>
      <c r="J118" s="52"/>
      <c r="K118" s="59" t="s">
        <v>563</v>
      </c>
      <c r="L118" s="52"/>
      <c r="M118" s="52"/>
      <c r="N118" s="53" t="s">
        <v>564</v>
      </c>
      <c r="O118" s="52"/>
      <c r="P118" s="52"/>
      <c r="Q118" s="52"/>
    </row>
    <row r="119" ht="12.75" customHeight="1">
      <c r="A119" s="52"/>
      <c r="B119" s="52"/>
      <c r="C119" s="52"/>
      <c r="D119" s="52"/>
      <c r="E119" s="52"/>
      <c r="F119" s="52"/>
      <c r="G119" s="52"/>
      <c r="J119" s="52"/>
      <c r="K119" s="52"/>
      <c r="L119" s="52"/>
      <c r="M119" s="52"/>
      <c r="N119" s="53"/>
      <c r="O119" s="52"/>
      <c r="P119" s="52"/>
      <c r="Q119" s="52"/>
    </row>
    <row r="120" ht="12.75" customHeight="1">
      <c r="A120" s="52" t="s">
        <v>565</v>
      </c>
      <c r="B120" s="52" t="s">
        <v>566</v>
      </c>
      <c r="C120" s="52" t="s">
        <v>567</v>
      </c>
      <c r="D120" s="52" t="s">
        <v>568</v>
      </c>
      <c r="E120" s="52"/>
      <c r="F120" s="52"/>
      <c r="G120" s="52"/>
      <c r="J120" s="52"/>
      <c r="K120" s="67" t="s">
        <v>569</v>
      </c>
      <c r="L120" s="67"/>
      <c r="M120" s="52"/>
      <c r="N120" s="53" t="s">
        <v>570</v>
      </c>
      <c r="O120" s="52"/>
      <c r="P120" s="52"/>
      <c r="Q120" s="52"/>
    </row>
    <row r="121" ht="12.75" customHeight="1">
      <c r="A121" s="52" t="str">
        <f>E5&gt;=($B$118 * MAX($E$5:$E$104))</f>
        <v>FALSE</v>
      </c>
      <c r="B121" s="52" t="str">
        <f>F5&gt;=($B$118 * MAX($F$5:$F$104))</f>
        <v>FALSE</v>
      </c>
      <c r="C121" s="52" t="str">
        <f>G5&gt;=($B$118 * MAX($G$5:$G$104))</f>
        <v>FALSE</v>
      </c>
      <c r="D121" s="52" t="str">
        <f>H5&gt;=($B$118 * MAX($H$5:$H$104))</f>
        <v>FALSE</v>
      </c>
      <c r="E121" s="52"/>
      <c r="F121" s="52"/>
      <c r="G121" s="52"/>
      <c r="J121" s="52"/>
      <c r="K121" s="67" t="str">
        <f t="array" ref="K121">INDEX(H114:H132,MATCH(MAX(I114:I132),I114:I132,0),1)</f>
        <v>Oil &amp; gas operations</v>
      </c>
      <c r="L121" s="67"/>
      <c r="M121" s="52"/>
      <c r="N121" s="53"/>
      <c r="O121" s="52"/>
      <c r="P121" s="52"/>
      <c r="Q121" s="52"/>
    </row>
    <row r="122" ht="12.75" customHeight="1">
      <c r="A122" s="52" t="str">
        <f>DCOUNT(forbesdb,,A120:A121)</f>
        <v>#VALUE!</v>
      </c>
      <c r="B122" s="52" t="str">
        <f>DCOUNT(forbesdb,,B120:B121)</f>
        <v>#VALUE!</v>
      </c>
      <c r="C122" s="52" t="str">
        <f>DCOUNT(forbesdb,,C120:C121)</f>
        <v>#VALUE!</v>
      </c>
      <c r="D122" s="52" t="str">
        <f>DCOUNT(forbesdb,,D120:D121)</f>
        <v>#VALUE!</v>
      </c>
      <c r="E122" s="52"/>
      <c r="F122" s="52"/>
      <c r="G122" s="52"/>
      <c r="J122" s="52"/>
      <c r="K122" s="52"/>
      <c r="L122" s="52"/>
      <c r="M122" s="52"/>
      <c r="N122" s="53" t="s">
        <v>571</v>
      </c>
      <c r="O122" s="52"/>
      <c r="P122" s="52"/>
      <c r="Q122" s="52"/>
    </row>
    <row r="123" ht="12.75" customHeight="1">
      <c r="A123" s="52"/>
      <c r="B123" s="52"/>
      <c r="C123" s="52"/>
      <c r="D123" s="52"/>
      <c r="E123" s="52"/>
      <c r="F123" s="52"/>
      <c r="G123" s="52"/>
      <c r="J123" s="52"/>
      <c r="K123" s="52"/>
      <c r="L123" s="52"/>
      <c r="M123" s="52"/>
      <c r="N123" s="53"/>
      <c r="O123" s="52"/>
      <c r="P123" s="52"/>
      <c r="Q123" s="52"/>
    </row>
    <row r="124" ht="12.75" customHeight="1">
      <c r="A124" s="52"/>
      <c r="B124" s="52"/>
      <c r="C124" s="52"/>
      <c r="D124" s="52"/>
      <c r="E124" s="52"/>
      <c r="F124" s="52"/>
      <c r="G124" s="52"/>
      <c r="J124" s="52"/>
      <c r="K124" s="52"/>
      <c r="L124" s="52"/>
      <c r="M124" s="52"/>
      <c r="N124" s="53" t="s">
        <v>572</v>
      </c>
      <c r="O124" s="52"/>
      <c r="P124" s="52"/>
      <c r="Q124" s="52"/>
    </row>
    <row r="125" ht="12.75" customHeight="1">
      <c r="A125" s="52"/>
      <c r="B125" s="52"/>
      <c r="C125" s="52"/>
      <c r="D125" s="52"/>
      <c r="E125" s="52"/>
      <c r="F125" s="52"/>
      <c r="G125" s="52"/>
      <c r="J125" s="52"/>
      <c r="K125" s="52"/>
      <c r="L125" s="52"/>
      <c r="M125" s="52"/>
      <c r="N125" s="52"/>
      <c r="O125" s="52"/>
      <c r="P125" s="52"/>
      <c r="Q125" s="52"/>
    </row>
    <row r="126" ht="12.75" customHeight="1">
      <c r="A126" s="52"/>
      <c r="B126" s="52"/>
      <c r="C126" s="52"/>
      <c r="D126" s="52"/>
      <c r="E126" s="52"/>
      <c r="F126" s="52"/>
      <c r="G126" s="52"/>
      <c r="J126" s="52"/>
      <c r="K126" s="52"/>
      <c r="L126" s="52"/>
      <c r="M126" s="52"/>
      <c r="N126" s="52"/>
      <c r="O126" s="52"/>
      <c r="P126" s="52"/>
      <c r="Q126" s="52"/>
    </row>
    <row r="127" ht="12.75" customHeight="1">
      <c r="A127" s="52"/>
      <c r="B127" s="52"/>
      <c r="C127" s="52"/>
      <c r="D127" s="52"/>
      <c r="E127" s="52"/>
      <c r="F127" s="52"/>
      <c r="G127" s="52"/>
      <c r="J127" s="52"/>
      <c r="K127" s="52"/>
      <c r="L127" s="52"/>
      <c r="M127" s="52"/>
      <c r="N127" s="52"/>
      <c r="O127" s="52"/>
      <c r="P127" s="52"/>
      <c r="Q127" s="52"/>
    </row>
    <row r="128" ht="12.75" customHeight="1">
      <c r="A128" s="52"/>
      <c r="B128" s="52"/>
      <c r="C128" s="52"/>
      <c r="D128" s="52"/>
      <c r="E128" s="52"/>
      <c r="F128" s="52"/>
      <c r="G128" s="52"/>
      <c r="J128" s="52"/>
      <c r="K128" s="52"/>
      <c r="L128" s="52"/>
      <c r="M128" s="52"/>
      <c r="N128" s="52"/>
      <c r="O128" s="52"/>
      <c r="P128" s="52"/>
      <c r="Q128" s="52"/>
    </row>
    <row r="129" ht="12.75" customHeight="1">
      <c r="A129" s="53"/>
      <c r="B129" s="52"/>
      <c r="C129" s="52"/>
      <c r="D129" s="52"/>
      <c r="E129" s="52"/>
      <c r="F129" s="52"/>
      <c r="G129" s="52"/>
      <c r="J129" s="52"/>
      <c r="K129" s="52"/>
      <c r="L129" s="52"/>
      <c r="M129" s="52"/>
      <c r="N129" s="52"/>
      <c r="O129" s="52"/>
      <c r="P129" s="52"/>
      <c r="Q129" s="52"/>
    </row>
    <row r="130" ht="12.75" customHeight="1">
      <c r="A130" s="52"/>
      <c r="B130" s="52"/>
      <c r="C130" s="52"/>
      <c r="D130" s="52"/>
      <c r="E130" s="52"/>
      <c r="F130" s="52"/>
      <c r="G130" s="52"/>
      <c r="J130" s="52"/>
      <c r="K130" s="52"/>
      <c r="L130" s="52"/>
      <c r="M130" s="52"/>
      <c r="N130" s="52"/>
      <c r="O130" s="52"/>
      <c r="P130" s="52"/>
      <c r="Q130" s="52"/>
    </row>
    <row r="131" ht="12.75" customHeight="1">
      <c r="A131" s="59" t="s">
        <v>573</v>
      </c>
      <c r="B131" s="52"/>
      <c r="C131" s="52"/>
      <c r="D131" s="52"/>
      <c r="E131" s="52"/>
      <c r="F131" s="52"/>
      <c r="G131" s="52"/>
      <c r="J131" s="52"/>
      <c r="K131" s="52"/>
      <c r="L131" s="52"/>
      <c r="M131" s="52"/>
      <c r="N131" s="52"/>
      <c r="O131" s="52"/>
      <c r="P131" s="52"/>
      <c r="Q131" s="52"/>
    </row>
    <row r="132" ht="12.75" customHeight="1">
      <c r="A132" s="52" t="s">
        <v>574</v>
      </c>
      <c r="B132" s="52"/>
      <c r="C132" s="52"/>
      <c r="D132" s="52"/>
      <c r="E132" s="52"/>
      <c r="F132" s="52"/>
      <c r="G132" s="52"/>
      <c r="J132" s="52"/>
      <c r="K132" s="52"/>
      <c r="L132" s="52"/>
      <c r="M132" s="52"/>
      <c r="N132" s="52"/>
      <c r="O132" s="52"/>
      <c r="P132" s="52"/>
      <c r="Q132" s="52"/>
    </row>
    <row r="133" ht="12.75" customHeight="1">
      <c r="A133" s="52" t="str">
        <f>OR((F5&gt;=0.2*E5),F5&gt;=0.1*G5)</f>
        <v>FALSE</v>
      </c>
      <c r="B133" s="52"/>
      <c r="C133" s="52"/>
      <c r="D133" s="52"/>
      <c r="E133" s="52"/>
      <c r="F133" s="52"/>
      <c r="G133" s="52"/>
      <c r="J133" s="52"/>
      <c r="K133" s="52"/>
      <c r="L133" s="52"/>
      <c r="M133" s="52"/>
      <c r="N133" s="52"/>
      <c r="O133" s="52"/>
      <c r="P133" s="52"/>
      <c r="Q133" s="52"/>
    </row>
    <row r="134" ht="12.75" customHeight="1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</row>
    <row r="135" ht="12.75" customHeight="1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</row>
    <row r="136" ht="12.75" customHeight="1">
      <c r="A136" s="54" t="s">
        <v>404</v>
      </c>
      <c r="B136" s="54" t="s">
        <v>220</v>
      </c>
      <c r="C136" s="54" t="s">
        <v>405</v>
      </c>
      <c r="D136" s="54" t="s">
        <v>406</v>
      </c>
      <c r="E136" s="54" t="s">
        <v>154</v>
      </c>
      <c r="F136" s="54" t="s">
        <v>407</v>
      </c>
      <c r="G136" s="54" t="s">
        <v>408</v>
      </c>
      <c r="H136" s="54" t="s">
        <v>409</v>
      </c>
      <c r="I136" s="52"/>
      <c r="J136" s="52"/>
      <c r="K136" s="52"/>
      <c r="L136" s="52"/>
      <c r="M136" s="52"/>
      <c r="N136" s="52"/>
      <c r="O136" s="52"/>
      <c r="P136" s="52"/>
      <c r="Q136" s="52"/>
    </row>
    <row r="137" ht="12.75" customHeight="1">
      <c r="A137" s="55">
        <v>67.0</v>
      </c>
      <c r="B137" s="56" t="s">
        <v>442</v>
      </c>
      <c r="C137" s="56" t="s">
        <v>443</v>
      </c>
      <c r="D137" s="56" t="s">
        <v>420</v>
      </c>
      <c r="E137" s="57">
        <v>18.01</v>
      </c>
      <c r="F137" s="57">
        <v>3.88</v>
      </c>
      <c r="G137" s="57">
        <v>275.18</v>
      </c>
      <c r="H137" s="57">
        <v>39.69</v>
      </c>
      <c r="I137" s="52"/>
      <c r="J137" s="52"/>
      <c r="K137" s="52"/>
      <c r="L137" s="52"/>
      <c r="M137" s="52"/>
      <c r="N137" s="52"/>
      <c r="O137" s="52"/>
      <c r="P137" s="52"/>
      <c r="Q137" s="52"/>
    </row>
    <row r="138" ht="12.75" customHeight="1">
      <c r="A138" s="55">
        <v>77.0</v>
      </c>
      <c r="B138" s="56" t="s">
        <v>445</v>
      </c>
      <c r="C138" s="56" t="s">
        <v>443</v>
      </c>
      <c r="D138" s="56" t="s">
        <v>420</v>
      </c>
      <c r="E138" s="57">
        <v>14.57</v>
      </c>
      <c r="F138" s="57">
        <v>3.73</v>
      </c>
      <c r="G138" s="57">
        <v>189.29</v>
      </c>
      <c r="H138" s="57">
        <v>52.88</v>
      </c>
      <c r="I138" s="52"/>
      <c r="J138" s="52"/>
      <c r="K138" s="52"/>
      <c r="L138" s="52"/>
      <c r="M138" s="52"/>
      <c r="N138" s="52"/>
      <c r="O138" s="52"/>
      <c r="P138" s="52"/>
      <c r="Q138" s="52"/>
    </row>
    <row r="139" ht="12.75" customHeight="1">
      <c r="A139" s="55">
        <v>6.0</v>
      </c>
      <c r="B139" s="56" t="s">
        <v>450</v>
      </c>
      <c r="C139" s="56" t="s">
        <v>443</v>
      </c>
      <c r="D139" s="56" t="s">
        <v>420</v>
      </c>
      <c r="E139" s="57">
        <v>49.01</v>
      </c>
      <c r="F139" s="57">
        <v>10.81</v>
      </c>
      <c r="G139" s="57">
        <v>736.45</v>
      </c>
      <c r="H139" s="57">
        <v>117.55</v>
      </c>
      <c r="I139" s="52"/>
      <c r="J139" s="52"/>
      <c r="K139" s="52"/>
      <c r="L139" s="52"/>
      <c r="M139" s="52"/>
      <c r="N139" s="52"/>
      <c r="O139" s="52"/>
      <c r="P139" s="52"/>
      <c r="Q139" s="52"/>
    </row>
    <row r="140" ht="12.75" customHeight="1">
      <c r="A140" s="55">
        <v>20.0</v>
      </c>
      <c r="B140" s="56" t="s">
        <v>479</v>
      </c>
      <c r="C140" s="56" t="s">
        <v>443</v>
      </c>
      <c r="D140" s="56" t="s">
        <v>474</v>
      </c>
      <c r="E140" s="57">
        <v>46.26</v>
      </c>
      <c r="F140" s="57">
        <v>10.09</v>
      </c>
      <c r="G140" s="57">
        <v>752.25</v>
      </c>
      <c r="H140" s="57">
        <v>44.25</v>
      </c>
      <c r="I140" s="52"/>
      <c r="J140" s="52"/>
      <c r="K140" s="52"/>
      <c r="L140" s="52"/>
      <c r="M140" s="52"/>
      <c r="N140" s="52"/>
      <c r="O140" s="52"/>
      <c r="P140" s="52"/>
      <c r="Q140" s="52"/>
    </row>
    <row r="141" ht="12.75" customHeight="1">
      <c r="A141" s="55">
        <v>64.0</v>
      </c>
      <c r="B141" s="56" t="s">
        <v>487</v>
      </c>
      <c r="C141" s="56" t="s">
        <v>478</v>
      </c>
      <c r="D141" s="56" t="s">
        <v>486</v>
      </c>
      <c r="E141" s="57">
        <v>26.77</v>
      </c>
      <c r="F141" s="57">
        <v>5.4</v>
      </c>
      <c r="G141" s="57">
        <v>46.92</v>
      </c>
      <c r="H141" s="57">
        <v>116.43</v>
      </c>
      <c r="I141" s="52"/>
      <c r="J141" s="52"/>
      <c r="K141" s="52"/>
      <c r="L141" s="52"/>
      <c r="M141" s="52"/>
      <c r="N141" s="52"/>
      <c r="O141" s="52"/>
      <c r="P141" s="52"/>
      <c r="Q141" s="52"/>
    </row>
    <row r="142" ht="12.75" customHeight="1">
      <c r="A142" s="55">
        <v>80.0</v>
      </c>
      <c r="B142" s="56" t="s">
        <v>488</v>
      </c>
      <c r="C142" s="56" t="s">
        <v>437</v>
      </c>
      <c r="D142" s="56" t="s">
        <v>486</v>
      </c>
      <c r="E142" s="57">
        <v>34.16</v>
      </c>
      <c r="F142" s="57">
        <v>6.34</v>
      </c>
      <c r="G142" s="57">
        <v>29.19</v>
      </c>
      <c r="H142" s="57">
        <v>124.79</v>
      </c>
      <c r="I142" s="52"/>
      <c r="J142" s="52"/>
      <c r="K142" s="52"/>
      <c r="L142" s="52"/>
      <c r="M142" s="52"/>
      <c r="N142" s="52"/>
      <c r="O142" s="52"/>
      <c r="P142" s="52"/>
      <c r="Q142" s="52"/>
    </row>
    <row r="143" ht="12.75" customHeight="1">
      <c r="A143" s="55">
        <v>63.0</v>
      </c>
      <c r="B143" s="56" t="s">
        <v>489</v>
      </c>
      <c r="C143" s="56" t="s">
        <v>443</v>
      </c>
      <c r="D143" s="56" t="s">
        <v>486</v>
      </c>
      <c r="E143" s="57">
        <v>30.78</v>
      </c>
      <c r="F143" s="57">
        <v>7.33</v>
      </c>
      <c r="G143" s="57">
        <v>42.59</v>
      </c>
      <c r="H143" s="57">
        <v>108.76</v>
      </c>
      <c r="I143" s="52"/>
      <c r="J143" s="52"/>
      <c r="K143" s="52"/>
      <c r="L143" s="52"/>
      <c r="M143" s="52"/>
      <c r="N143" s="52"/>
      <c r="O143" s="52"/>
      <c r="P143" s="52"/>
      <c r="Q143" s="52"/>
    </row>
    <row r="144" ht="12.75" customHeight="1">
      <c r="A144" s="55">
        <v>46.0</v>
      </c>
      <c r="B144" s="56" t="s">
        <v>490</v>
      </c>
      <c r="C144" s="56" t="s">
        <v>443</v>
      </c>
      <c r="D144" s="56" t="s">
        <v>486</v>
      </c>
      <c r="E144" s="57">
        <v>40.01</v>
      </c>
      <c r="F144" s="57">
        <v>6.74</v>
      </c>
      <c r="G144" s="57">
        <v>46.66</v>
      </c>
      <c r="H144" s="57">
        <v>160.96</v>
      </c>
      <c r="I144" s="52"/>
      <c r="J144" s="52"/>
      <c r="K144" s="52"/>
      <c r="L144" s="52"/>
      <c r="M144" s="52"/>
      <c r="N144" s="52"/>
      <c r="O144" s="52"/>
      <c r="P144" s="52"/>
      <c r="Q144" s="52"/>
    </row>
    <row r="145" ht="12.75" customHeight="1">
      <c r="A145" s="55">
        <v>44.0</v>
      </c>
      <c r="B145" s="56" t="s">
        <v>499</v>
      </c>
      <c r="C145" s="56" t="s">
        <v>443</v>
      </c>
      <c r="D145" s="56" t="s">
        <v>500</v>
      </c>
      <c r="E145" s="57">
        <v>46.99</v>
      </c>
      <c r="F145" s="57">
        <v>5.81</v>
      </c>
      <c r="G145" s="57">
        <v>53.86</v>
      </c>
      <c r="H145" s="57">
        <v>131.89</v>
      </c>
      <c r="I145" s="52"/>
      <c r="J145" s="52"/>
      <c r="K145" s="52"/>
      <c r="L145" s="52"/>
      <c r="M145" s="52"/>
      <c r="N145" s="52"/>
      <c r="O145" s="52"/>
      <c r="P145" s="52"/>
      <c r="Q145" s="52"/>
    </row>
    <row r="146" ht="12.75" customHeight="1">
      <c r="A146" s="55">
        <v>17.0</v>
      </c>
      <c r="B146" s="56" t="s">
        <v>519</v>
      </c>
      <c r="C146" s="56" t="s">
        <v>426</v>
      </c>
      <c r="D146" s="56" t="s">
        <v>516</v>
      </c>
      <c r="E146" s="57">
        <v>131.64</v>
      </c>
      <c r="F146" s="57">
        <v>8.84</v>
      </c>
      <c r="G146" s="57">
        <v>87.84</v>
      </c>
      <c r="H146" s="57">
        <v>116.64</v>
      </c>
      <c r="I146" s="52"/>
      <c r="J146" s="52"/>
      <c r="K146" s="52"/>
      <c r="L146" s="52"/>
      <c r="M146" s="52"/>
      <c r="N146" s="52"/>
      <c r="O146" s="52"/>
      <c r="P146" s="52"/>
      <c r="Q146" s="52"/>
    </row>
    <row r="147" ht="12.75" customHeight="1">
      <c r="A147" s="55">
        <v>4.0</v>
      </c>
      <c r="B147" s="56" t="s">
        <v>527</v>
      </c>
      <c r="C147" s="56" t="s">
        <v>443</v>
      </c>
      <c r="D147" s="56" t="s">
        <v>516</v>
      </c>
      <c r="E147" s="57">
        <v>222.88</v>
      </c>
      <c r="F147" s="57">
        <v>20.96</v>
      </c>
      <c r="G147" s="57">
        <v>166.99</v>
      </c>
      <c r="H147" s="57">
        <v>277.02</v>
      </c>
      <c r="I147" s="52"/>
      <c r="J147" s="52"/>
      <c r="K147" s="52"/>
      <c r="L147" s="52"/>
      <c r="M147" s="52"/>
      <c r="N147" s="52"/>
      <c r="O147" s="52"/>
      <c r="P147" s="52"/>
      <c r="Q147" s="52"/>
    </row>
    <row r="148" ht="12.75" customHeight="1">
      <c r="A148" s="55">
        <v>60.0</v>
      </c>
      <c r="B148" s="56" t="s">
        <v>528</v>
      </c>
      <c r="C148" s="56" t="s">
        <v>443</v>
      </c>
      <c r="D148" s="56" t="s">
        <v>529</v>
      </c>
      <c r="E148" s="57">
        <v>62.9</v>
      </c>
      <c r="F148" s="57">
        <v>4.04</v>
      </c>
      <c r="G148" s="57">
        <v>35.37</v>
      </c>
      <c r="H148" s="57">
        <v>82.29</v>
      </c>
      <c r="I148" s="52"/>
      <c r="J148" s="52"/>
      <c r="K148" s="52"/>
      <c r="L148" s="52"/>
      <c r="M148" s="52"/>
      <c r="N148" s="52"/>
      <c r="O148" s="52"/>
      <c r="P148" s="52"/>
      <c r="Q148" s="52"/>
    </row>
    <row r="149" ht="12.75" customHeight="1">
      <c r="A149" s="55">
        <v>45.0</v>
      </c>
      <c r="B149" s="56" t="s">
        <v>531</v>
      </c>
      <c r="C149" s="56" t="s">
        <v>532</v>
      </c>
      <c r="D149" s="56" t="s">
        <v>533</v>
      </c>
      <c r="E149" s="57">
        <v>50.22</v>
      </c>
      <c r="F149" s="57">
        <v>5.95</v>
      </c>
      <c r="G149" s="57">
        <v>54.58</v>
      </c>
      <c r="H149" s="57">
        <v>72.72</v>
      </c>
      <c r="I149" s="52"/>
      <c r="J149" s="52"/>
      <c r="K149" s="52"/>
      <c r="L149" s="52"/>
      <c r="M149" s="52"/>
      <c r="N149" s="52"/>
      <c r="O149" s="52"/>
      <c r="P149" s="52"/>
      <c r="Q149" s="52"/>
    </row>
    <row r="150" ht="12.75" customHeight="1">
      <c r="A150" s="55">
        <v>58.0</v>
      </c>
      <c r="B150" s="56" t="s">
        <v>534</v>
      </c>
      <c r="C150" s="56" t="s">
        <v>443</v>
      </c>
      <c r="D150" s="56" t="s">
        <v>533</v>
      </c>
      <c r="E150" s="57">
        <v>30.14</v>
      </c>
      <c r="F150" s="57">
        <v>5.64</v>
      </c>
      <c r="G150" s="57">
        <v>47.14</v>
      </c>
      <c r="H150" s="57">
        <v>196.87</v>
      </c>
      <c r="I150" s="52"/>
      <c r="J150" s="52"/>
      <c r="K150" s="52"/>
      <c r="L150" s="52"/>
      <c r="M150" s="52"/>
      <c r="N150" s="52"/>
      <c r="O150" s="52"/>
      <c r="P150" s="52"/>
      <c r="Q150" s="52"/>
    </row>
    <row r="151" ht="12.75" customHeight="1">
      <c r="A151" s="55">
        <v>31.0</v>
      </c>
      <c r="B151" s="56" t="s">
        <v>535</v>
      </c>
      <c r="C151" s="56" t="s">
        <v>443</v>
      </c>
      <c r="D151" s="56" t="s">
        <v>536</v>
      </c>
      <c r="E151" s="57">
        <v>34.27</v>
      </c>
      <c r="F151" s="57">
        <v>8.88</v>
      </c>
      <c r="G151" s="57">
        <v>85.94</v>
      </c>
      <c r="H151" s="57">
        <v>287.02</v>
      </c>
      <c r="I151" s="52"/>
      <c r="J151" s="52"/>
      <c r="K151" s="52"/>
      <c r="L151" s="52"/>
      <c r="M151" s="52"/>
      <c r="N151" s="52"/>
      <c r="O151" s="52"/>
      <c r="P151" s="52"/>
      <c r="Q151" s="52"/>
    </row>
    <row r="152" ht="12.75" customHeight="1">
      <c r="A152" s="55">
        <v>83.0</v>
      </c>
      <c r="B152" s="56" t="s">
        <v>537</v>
      </c>
      <c r="C152" s="56" t="s">
        <v>538</v>
      </c>
      <c r="D152" s="56" t="s">
        <v>539</v>
      </c>
      <c r="E152" s="57">
        <v>37.05</v>
      </c>
      <c r="F152" s="57">
        <v>4.52</v>
      </c>
      <c r="G152" s="57">
        <v>29.15</v>
      </c>
      <c r="H152" s="57">
        <v>104.3</v>
      </c>
      <c r="I152" s="52"/>
      <c r="J152" s="52"/>
      <c r="K152" s="52"/>
      <c r="L152" s="52"/>
      <c r="M152" s="52"/>
      <c r="N152" s="52"/>
      <c r="O152" s="52"/>
      <c r="P152" s="52"/>
      <c r="Q152" s="52"/>
    </row>
    <row r="153" ht="12.75" customHeight="1">
      <c r="A153" s="55">
        <v>89.0</v>
      </c>
      <c r="B153" s="56" t="s">
        <v>541</v>
      </c>
      <c r="C153" s="56" t="s">
        <v>443</v>
      </c>
      <c r="D153" s="56" t="s">
        <v>539</v>
      </c>
      <c r="E153" s="57">
        <v>19.82</v>
      </c>
      <c r="F153" s="57">
        <v>4.35</v>
      </c>
      <c r="G153" s="57">
        <v>36.59</v>
      </c>
      <c r="H153" s="57">
        <v>166.09</v>
      </c>
      <c r="I153" s="52"/>
      <c r="J153" s="52"/>
      <c r="K153" s="52"/>
      <c r="L153" s="52"/>
      <c r="M153" s="52"/>
      <c r="N153" s="52"/>
      <c r="O153" s="52"/>
      <c r="P153" s="52"/>
      <c r="Q153" s="52"/>
    </row>
    <row r="154" ht="12.75" customHeight="1">
      <c r="A154" s="55">
        <v>94.0</v>
      </c>
      <c r="B154" s="56" t="s">
        <v>551</v>
      </c>
      <c r="C154" s="56" t="s">
        <v>443</v>
      </c>
      <c r="D154" s="56" t="s">
        <v>550</v>
      </c>
      <c r="E154" s="57">
        <v>32.81</v>
      </c>
      <c r="F154" s="57">
        <v>3.54</v>
      </c>
      <c r="G154" s="57">
        <v>28.37</v>
      </c>
      <c r="H154" s="57">
        <v>79.62</v>
      </c>
      <c r="I154" s="52"/>
      <c r="J154" s="52"/>
      <c r="K154" s="52"/>
      <c r="L154" s="52"/>
      <c r="M154" s="52"/>
      <c r="N154" s="52"/>
      <c r="O154" s="52"/>
      <c r="P154" s="52"/>
      <c r="Q154" s="52"/>
    </row>
    <row r="155" ht="12.7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</row>
    <row r="156" ht="12.7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</row>
    <row r="157" ht="12.75" customHeight="1">
      <c r="A157" s="53"/>
      <c r="B157" s="56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</row>
    <row r="158" ht="12.75" customHeight="1">
      <c r="A158" s="54"/>
      <c r="B158" s="54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</row>
    <row r="159" ht="12.7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</row>
    <row r="160" ht="12.7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</row>
    <row r="161" ht="12.75" customHeight="1">
      <c r="A161" s="55"/>
      <c r="B161" s="56"/>
      <c r="C161" s="56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</row>
    <row r="162" ht="12.75" customHeight="1">
      <c r="A162" s="55"/>
      <c r="B162" s="56"/>
      <c r="C162" s="56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</row>
    <row r="163" ht="12.75" customHeight="1">
      <c r="A163" s="55"/>
      <c r="B163" s="56"/>
      <c r="C163" s="56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</row>
    <row r="164" ht="12.75" customHeight="1">
      <c r="A164" s="55"/>
      <c r="B164" s="56"/>
      <c r="C164" s="56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</row>
    <row r="165" ht="12.7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</row>
    <row r="166" ht="12.7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</row>
    <row r="167" ht="12.75" customHeight="1">
      <c r="A167" s="53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</row>
    <row r="168" ht="12.7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</row>
    <row r="169" ht="12.7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</row>
    <row r="170" ht="12.7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</row>
    <row r="171" ht="12.7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</row>
    <row r="172" ht="12.7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</row>
    <row r="173" ht="12.7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</row>
    <row r="174" ht="12.7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</row>
    <row r="175" ht="12.75" customHeight="1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</row>
    <row r="176" ht="12.75" customHeight="1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</row>
    <row r="177" ht="12.75" customHeight="1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</row>
    <row r="178" ht="12.75" customHeight="1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</row>
    <row r="179" ht="12.75" customHeight="1">
      <c r="A179" s="53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</row>
    <row r="180" ht="12.75" customHeight="1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</row>
    <row r="181" ht="12.75" customHeight="1">
      <c r="A181" s="53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</row>
  </sheetData>
  <conditionalFormatting sqref="B5:B104">
    <cfRule type="expression" dxfId="3" priority="1" stopIfTrue="1">
      <formula>AND(E5&gt;80,H5&gt;=200)</formula>
    </cfRule>
  </conditionalFormatting>
  <printOptions/>
  <pageMargins bottom="1.0" footer="0.0" header="0.0" left="0.75" right="0.75" top="1.0"/>
  <pageSetup paperSize="9" orientation="portrait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8.14"/>
    <col customWidth="1" min="3" max="3" width="8.57"/>
    <col customWidth="1" min="4" max="4" width="10.14"/>
    <col customWidth="1" min="5" max="5" width="9.86"/>
    <col customWidth="1" min="6" max="6" width="5.86"/>
    <col customWidth="1" min="7" max="7" width="6.14"/>
    <col customWidth="1" min="8" max="8" width="6.57"/>
    <col customWidth="1" min="9" max="13" width="4.0"/>
    <col customWidth="1" min="14" max="24" width="9.14"/>
  </cols>
  <sheetData>
    <row r="1" ht="12.75" customHeight="1">
      <c r="A1" s="70"/>
      <c r="B1" s="70"/>
      <c r="C1" s="70"/>
      <c r="D1" s="70"/>
      <c r="E1" s="70" t="s">
        <v>576</v>
      </c>
      <c r="G1" s="70"/>
      <c r="H1" s="70"/>
      <c r="I1" s="70"/>
      <c r="J1" s="70"/>
      <c r="K1" s="70"/>
      <c r="L1" s="70"/>
      <c r="M1" s="70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</row>
    <row r="2" ht="12.75" customHeight="1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ht="12.75" customHeight="1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53"/>
      <c r="O3" s="53"/>
      <c r="P3" s="53"/>
      <c r="Q3" s="53"/>
      <c r="R3" s="71" t="s">
        <v>577</v>
      </c>
      <c r="S3" s="72"/>
      <c r="T3" s="53"/>
      <c r="U3" s="53"/>
      <c r="V3" s="53"/>
      <c r="W3" s="53"/>
      <c r="X3" s="53"/>
    </row>
    <row r="4" ht="12.75" customHeight="1">
      <c r="A4" s="70"/>
      <c r="B4" s="70"/>
      <c r="C4" s="70"/>
      <c r="D4" s="70"/>
      <c r="E4" s="70"/>
      <c r="F4" s="70"/>
      <c r="G4" s="70"/>
      <c r="H4" s="70"/>
      <c r="I4" s="70"/>
      <c r="J4" s="70">
        <v>15.0</v>
      </c>
      <c r="K4" s="70">
        <v>19.0</v>
      </c>
      <c r="L4" s="70">
        <v>22.0</v>
      </c>
      <c r="M4" s="70">
        <v>24.0</v>
      </c>
      <c r="N4" s="53"/>
      <c r="O4" s="53" t="s">
        <v>145</v>
      </c>
      <c r="P4" s="53" t="s">
        <v>149</v>
      </c>
      <c r="Q4" s="53" t="s">
        <v>578</v>
      </c>
      <c r="R4" s="53" t="s">
        <v>579</v>
      </c>
      <c r="S4" s="53"/>
      <c r="T4" s="53"/>
      <c r="U4" s="53"/>
      <c r="V4" s="53"/>
      <c r="W4" s="53"/>
      <c r="X4" s="53"/>
    </row>
    <row r="5" ht="12.75" customHeight="1">
      <c r="A5" s="70" t="s">
        <v>580</v>
      </c>
      <c r="B5" s="70" t="s">
        <v>581</v>
      </c>
      <c r="C5" s="70" t="s">
        <v>582</v>
      </c>
      <c r="D5" s="70" t="s">
        <v>583</v>
      </c>
      <c r="E5" s="70" t="s">
        <v>584</v>
      </c>
      <c r="F5" s="70" t="s">
        <v>2</v>
      </c>
      <c r="G5" s="70"/>
      <c r="H5" s="70"/>
      <c r="I5" s="70"/>
      <c r="J5" s="70">
        <v>1.0</v>
      </c>
      <c r="K5" s="70">
        <v>2.0</v>
      </c>
      <c r="L5" s="70">
        <v>3.0</v>
      </c>
      <c r="M5" s="70">
        <v>4.0</v>
      </c>
      <c r="N5" s="53"/>
      <c r="O5" s="53"/>
      <c r="P5" s="53"/>
      <c r="Q5" s="53"/>
      <c r="R5" s="53"/>
      <c r="S5" s="71" t="s">
        <v>585</v>
      </c>
      <c r="T5" s="72"/>
      <c r="U5" s="72"/>
      <c r="V5" s="72"/>
      <c r="W5" s="72"/>
      <c r="X5" s="72"/>
    </row>
    <row r="6" ht="12.75" customHeight="1">
      <c r="A6" s="73">
        <v>1.0</v>
      </c>
      <c r="B6" s="73" t="s">
        <v>586</v>
      </c>
      <c r="C6" s="74" t="str">
        <f t="shared" ref="C6:C15" si="1">VALUE(IF(LEN(B6)=3, (IF(CODE(B6)&lt;65, LEFT(B6,2), RIGHT(B6, 2))), (IF(CODE(B6)&lt;65, LEFT(B6,2), RIGHT(B6, 2)))))</f>
        <v>25</v>
      </c>
      <c r="D6" s="52" t="str">
        <f t="shared" ref="D6:D15" si="2">IF(LEN(B6)=3, (IF(CODE(B6)&lt;65, RIGHT(B6,1), LEFT(B6, 1))), (IF(CODE(B6)&lt;65, RIGHT(B6,2), LEFT(B6, 2))))</f>
        <v>R</v>
      </c>
      <c r="E6" s="73" t="str">
        <f t="shared" ref="E6:E15" si="3">LOOKUP(C6, $J$4:$M$5, $J$5:$M$5)</f>
        <v>4</v>
      </c>
      <c r="F6" s="75" t="str">
        <f t="shared" ref="F6:F15" si="4">VLOOKUP(D6, $I$6:$M$9, E6+1, FALSE)</f>
        <v>250</v>
      </c>
      <c r="G6" s="75"/>
      <c r="H6" s="70"/>
      <c r="I6" s="70" t="s">
        <v>587</v>
      </c>
      <c r="J6" s="73">
        <v>200.0</v>
      </c>
      <c r="K6" s="73">
        <v>210.0</v>
      </c>
      <c r="L6" s="73">
        <v>225.0</v>
      </c>
      <c r="M6" s="73">
        <v>250.0</v>
      </c>
      <c r="N6" s="53"/>
      <c r="O6" s="52" t="str">
        <f t="shared" ref="O6:O15" si="5">VALUE(IF(LEN(B6)=3, (IF(CODE(B6)&lt;65, LEFT(B6, 2), RIGHT(B6, 2))), (IF(CODE(B6)&lt;65, LEFT(B6, 2), RIGHT(B6, 2)))))</f>
        <v>25</v>
      </c>
      <c r="P6" s="52" t="str">
        <f t="shared" ref="P6:P15" si="6">IF(LEN(B6)=3, (IF(CODE(B6)&gt;65, LEFT(B6, 1), RIGHT(B6, 1))), (IF(CODE(B6)&gt;65, LEFT(B6, 2), RIGHT(B6, 2))))</f>
        <v>R</v>
      </c>
      <c r="Q6" s="52" t="str">
        <f t="shared" ref="Q6:Q15" si="7">LOOKUP(C6, $J$4:$M$5, $J$5:$M$5)</f>
        <v>4</v>
      </c>
      <c r="R6" s="52" t="str">
        <f t="shared" ref="R6:R15" si="8">INDEX($J$5:$M$9, MATCH(P6, $I$5:$I$9, 0), Q6)</f>
        <v>250</v>
      </c>
      <c r="S6" s="52" t="str">
        <f t="shared" ref="S6:S15" si="9">VLOOKUP(P6, $I$6:$M$9, Q6+1, 0)</f>
        <v>250</v>
      </c>
      <c r="T6" s="53"/>
      <c r="U6" s="53"/>
      <c r="V6" s="53"/>
      <c r="W6" s="53"/>
      <c r="X6" s="53"/>
    </row>
    <row r="7" ht="12.75" customHeight="1">
      <c r="A7" s="73">
        <v>2.0</v>
      </c>
      <c r="B7" s="73" t="s">
        <v>588</v>
      </c>
      <c r="C7" s="74" t="str">
        <f t="shared" si="1"/>
        <v>20</v>
      </c>
      <c r="D7" s="52" t="str">
        <f t="shared" si="2"/>
        <v>O</v>
      </c>
      <c r="E7" s="73" t="str">
        <f t="shared" si="3"/>
        <v>2</v>
      </c>
      <c r="F7" s="75" t="str">
        <f t="shared" si="4"/>
        <v>225</v>
      </c>
      <c r="G7" s="75"/>
      <c r="H7" s="70"/>
      <c r="I7" s="70" t="s">
        <v>589</v>
      </c>
      <c r="J7" s="73">
        <v>210.0</v>
      </c>
      <c r="K7" s="73">
        <v>225.0</v>
      </c>
      <c r="L7" s="73">
        <v>260.0</v>
      </c>
      <c r="M7" s="73">
        <v>280.0</v>
      </c>
      <c r="N7" s="53"/>
      <c r="O7" s="52" t="str">
        <f t="shared" si="5"/>
        <v>20</v>
      </c>
      <c r="P7" s="52" t="str">
        <f t="shared" si="6"/>
        <v>O</v>
      </c>
      <c r="Q7" s="52" t="str">
        <f t="shared" si="7"/>
        <v>2</v>
      </c>
      <c r="R7" s="52" t="str">
        <f t="shared" si="8"/>
        <v>225</v>
      </c>
      <c r="S7" s="52" t="str">
        <f t="shared" si="9"/>
        <v>225</v>
      </c>
      <c r="T7" s="53"/>
      <c r="U7" s="53"/>
      <c r="V7" s="53"/>
      <c r="W7" s="53"/>
      <c r="X7" s="53"/>
    </row>
    <row r="8" ht="12.75" customHeight="1">
      <c r="A8" s="73">
        <v>3.0</v>
      </c>
      <c r="B8" s="73" t="s">
        <v>590</v>
      </c>
      <c r="C8" s="74" t="str">
        <f t="shared" si="1"/>
        <v>22</v>
      </c>
      <c r="D8" s="52" t="str">
        <f t="shared" si="2"/>
        <v>Y</v>
      </c>
      <c r="E8" s="73" t="str">
        <f t="shared" si="3"/>
        <v>3</v>
      </c>
      <c r="F8" s="75" t="str">
        <f t="shared" si="4"/>
        <v>290</v>
      </c>
      <c r="G8" s="75"/>
      <c r="H8" s="70"/>
      <c r="I8" s="70" t="s">
        <v>591</v>
      </c>
      <c r="J8" s="73">
        <v>220.0</v>
      </c>
      <c r="K8" s="73">
        <v>240.0</v>
      </c>
      <c r="L8" s="73">
        <v>290.0</v>
      </c>
      <c r="M8" s="73">
        <v>320.0</v>
      </c>
      <c r="N8" s="53"/>
      <c r="O8" s="52" t="str">
        <f t="shared" si="5"/>
        <v>22</v>
      </c>
      <c r="P8" s="52" t="str">
        <f t="shared" si="6"/>
        <v>Y</v>
      </c>
      <c r="Q8" s="52" t="str">
        <f t="shared" si="7"/>
        <v>3</v>
      </c>
      <c r="R8" s="52" t="str">
        <f t="shared" si="8"/>
        <v>290</v>
      </c>
      <c r="S8" s="52" t="str">
        <f t="shared" si="9"/>
        <v>290</v>
      </c>
      <c r="T8" s="53"/>
      <c r="U8" s="53"/>
      <c r="V8" s="53"/>
      <c r="W8" s="53"/>
      <c r="X8" s="53"/>
    </row>
    <row r="9" ht="12.75" customHeight="1">
      <c r="A9" s="73">
        <v>4.0</v>
      </c>
      <c r="B9" s="73" t="s">
        <v>592</v>
      </c>
      <c r="C9" s="74" t="str">
        <f t="shared" si="1"/>
        <v>21</v>
      </c>
      <c r="D9" s="52" t="str">
        <f t="shared" si="2"/>
        <v>GY</v>
      </c>
      <c r="E9" s="73" t="str">
        <f t="shared" si="3"/>
        <v>2</v>
      </c>
      <c r="F9" s="75" t="str">
        <f t="shared" si="4"/>
        <v>260</v>
      </c>
      <c r="G9" s="75"/>
      <c r="H9" s="70"/>
      <c r="I9" s="70" t="s">
        <v>96</v>
      </c>
      <c r="J9" s="73">
        <v>230.0</v>
      </c>
      <c r="K9" s="73">
        <v>260.0</v>
      </c>
      <c r="L9" s="73">
        <v>320.0</v>
      </c>
      <c r="M9" s="73">
        <v>350.0</v>
      </c>
      <c r="N9" s="53"/>
      <c r="O9" s="52" t="str">
        <f t="shared" si="5"/>
        <v>21</v>
      </c>
      <c r="P9" s="52" t="str">
        <f t="shared" si="6"/>
        <v>GY</v>
      </c>
      <c r="Q9" s="52" t="str">
        <f t="shared" si="7"/>
        <v>2</v>
      </c>
      <c r="R9" s="52" t="str">
        <f t="shared" si="8"/>
        <v>260</v>
      </c>
      <c r="S9" s="52" t="str">
        <f t="shared" si="9"/>
        <v>260</v>
      </c>
      <c r="T9" s="53"/>
      <c r="U9" s="53"/>
      <c r="V9" s="53"/>
      <c r="W9" s="53"/>
      <c r="X9" s="53"/>
    </row>
    <row r="10" ht="12.75" customHeight="1">
      <c r="A10" s="73">
        <v>5.0</v>
      </c>
      <c r="B10" s="73" t="s">
        <v>593</v>
      </c>
      <c r="C10" s="74" t="str">
        <f t="shared" si="1"/>
        <v>18</v>
      </c>
      <c r="D10" s="52" t="str">
        <f t="shared" si="2"/>
        <v>Y</v>
      </c>
      <c r="E10" s="73" t="str">
        <f t="shared" si="3"/>
        <v>1</v>
      </c>
      <c r="F10" s="75" t="str">
        <f t="shared" si="4"/>
        <v>220</v>
      </c>
      <c r="G10" s="75"/>
      <c r="H10" s="70"/>
      <c r="I10" s="70"/>
      <c r="J10" s="70"/>
      <c r="K10" s="70"/>
      <c r="L10" s="70"/>
      <c r="M10" s="70"/>
      <c r="N10" s="53"/>
      <c r="O10" s="52" t="str">
        <f t="shared" si="5"/>
        <v>18</v>
      </c>
      <c r="P10" s="52" t="str">
        <f t="shared" si="6"/>
        <v>Y</v>
      </c>
      <c r="Q10" s="52" t="str">
        <f t="shared" si="7"/>
        <v>1</v>
      </c>
      <c r="R10" s="52" t="str">
        <f t="shared" si="8"/>
        <v>220</v>
      </c>
      <c r="S10" s="52" t="str">
        <f t="shared" si="9"/>
        <v>220</v>
      </c>
      <c r="T10" s="53"/>
      <c r="U10" s="53"/>
      <c r="V10" s="53"/>
      <c r="W10" s="53"/>
      <c r="X10" s="53"/>
    </row>
    <row r="11" ht="12.75" customHeight="1">
      <c r="A11" s="73">
        <v>6.0</v>
      </c>
      <c r="B11" s="73" t="s">
        <v>594</v>
      </c>
      <c r="C11" s="74" t="str">
        <f t="shared" si="1"/>
        <v>19</v>
      </c>
      <c r="D11" s="52" t="str">
        <f t="shared" si="2"/>
        <v>GY</v>
      </c>
      <c r="E11" s="73" t="str">
        <f t="shared" si="3"/>
        <v>2</v>
      </c>
      <c r="F11" s="75" t="str">
        <f t="shared" si="4"/>
        <v>260</v>
      </c>
      <c r="G11" s="75"/>
      <c r="H11" s="70"/>
      <c r="I11" s="70"/>
      <c r="J11" s="70"/>
      <c r="K11" s="70"/>
      <c r="L11" s="70"/>
      <c r="M11" s="70"/>
      <c r="N11" s="53"/>
      <c r="O11" s="52" t="str">
        <f t="shared" si="5"/>
        <v>19</v>
      </c>
      <c r="P11" s="52" t="str">
        <f t="shared" si="6"/>
        <v>GY</v>
      </c>
      <c r="Q11" s="52" t="str">
        <f t="shared" si="7"/>
        <v>2</v>
      </c>
      <c r="R11" s="52" t="str">
        <f t="shared" si="8"/>
        <v>260</v>
      </c>
      <c r="S11" s="52" t="str">
        <f t="shared" si="9"/>
        <v>260</v>
      </c>
      <c r="T11" s="53"/>
      <c r="U11" s="53"/>
      <c r="V11" s="53"/>
      <c r="W11" s="53"/>
      <c r="X11" s="53"/>
    </row>
    <row r="12" ht="12.75" customHeight="1">
      <c r="A12" s="73">
        <v>7.0</v>
      </c>
      <c r="B12" s="73" t="s">
        <v>595</v>
      </c>
      <c r="C12" s="74" t="str">
        <f t="shared" si="1"/>
        <v>24</v>
      </c>
      <c r="D12" s="52" t="str">
        <f t="shared" si="2"/>
        <v>O</v>
      </c>
      <c r="E12" s="73" t="str">
        <f t="shared" si="3"/>
        <v>4</v>
      </c>
      <c r="F12" s="75" t="str">
        <f t="shared" si="4"/>
        <v>280</v>
      </c>
      <c r="G12" s="75"/>
      <c r="H12" s="70"/>
      <c r="I12" s="70"/>
      <c r="J12" s="70"/>
      <c r="K12" s="70"/>
      <c r="L12" s="70"/>
      <c r="M12" s="70"/>
      <c r="N12" s="53"/>
      <c r="O12" s="52" t="str">
        <f t="shared" si="5"/>
        <v>24</v>
      </c>
      <c r="P12" s="52" t="str">
        <f t="shared" si="6"/>
        <v>O</v>
      </c>
      <c r="Q12" s="52" t="str">
        <f t="shared" si="7"/>
        <v>4</v>
      </c>
      <c r="R12" s="52" t="str">
        <f t="shared" si="8"/>
        <v>280</v>
      </c>
      <c r="S12" s="52" t="str">
        <f t="shared" si="9"/>
        <v>280</v>
      </c>
      <c r="T12" s="53"/>
      <c r="U12" s="53"/>
      <c r="V12" s="53"/>
      <c r="W12" s="53"/>
      <c r="X12" s="53"/>
    </row>
    <row r="13" ht="12.75" customHeight="1">
      <c r="A13" s="73">
        <v>8.0</v>
      </c>
      <c r="B13" s="73" t="s">
        <v>596</v>
      </c>
      <c r="C13" s="74" t="str">
        <f t="shared" si="1"/>
        <v>19</v>
      </c>
      <c r="D13" s="52" t="str">
        <f t="shared" si="2"/>
        <v>Y</v>
      </c>
      <c r="E13" s="73" t="str">
        <f t="shared" si="3"/>
        <v>2</v>
      </c>
      <c r="F13" s="75" t="str">
        <f t="shared" si="4"/>
        <v>240</v>
      </c>
      <c r="G13" s="75"/>
      <c r="H13" s="70"/>
      <c r="I13" s="70"/>
      <c r="J13" s="70"/>
      <c r="K13" s="70"/>
      <c r="L13" s="70"/>
      <c r="M13" s="70"/>
      <c r="N13" s="53"/>
      <c r="O13" s="52" t="str">
        <f t="shared" si="5"/>
        <v>19</v>
      </c>
      <c r="P13" s="52" t="str">
        <f t="shared" si="6"/>
        <v>Y</v>
      </c>
      <c r="Q13" s="52" t="str">
        <f t="shared" si="7"/>
        <v>2</v>
      </c>
      <c r="R13" s="52" t="str">
        <f t="shared" si="8"/>
        <v>240</v>
      </c>
      <c r="S13" s="52" t="str">
        <f t="shared" si="9"/>
        <v>240</v>
      </c>
      <c r="T13" s="53"/>
      <c r="U13" s="53"/>
      <c r="V13" s="53"/>
      <c r="W13" s="53"/>
      <c r="X13" s="53"/>
    </row>
    <row r="14" ht="12.75" customHeight="1">
      <c r="A14" s="73">
        <v>9.0</v>
      </c>
      <c r="B14" s="73" t="s">
        <v>597</v>
      </c>
      <c r="C14" s="74" t="str">
        <f t="shared" si="1"/>
        <v>16</v>
      </c>
      <c r="D14" s="52" t="str">
        <f t="shared" si="2"/>
        <v>GY</v>
      </c>
      <c r="E14" s="73" t="str">
        <f t="shared" si="3"/>
        <v>1</v>
      </c>
      <c r="F14" s="75" t="str">
        <f t="shared" si="4"/>
        <v>230</v>
      </c>
      <c r="G14" s="75"/>
      <c r="H14" s="70"/>
      <c r="I14" s="70"/>
      <c r="J14" s="70"/>
      <c r="K14" s="70"/>
      <c r="L14" s="70"/>
      <c r="M14" s="70"/>
      <c r="N14" s="53"/>
      <c r="O14" s="52" t="str">
        <f t="shared" si="5"/>
        <v>16</v>
      </c>
      <c r="P14" s="52" t="str">
        <f t="shared" si="6"/>
        <v>GY</v>
      </c>
      <c r="Q14" s="52" t="str">
        <f t="shared" si="7"/>
        <v>1</v>
      </c>
      <c r="R14" s="52" t="str">
        <f t="shared" si="8"/>
        <v>230</v>
      </c>
      <c r="S14" s="52" t="str">
        <f t="shared" si="9"/>
        <v>230</v>
      </c>
      <c r="T14" s="53"/>
      <c r="U14" s="53"/>
      <c r="V14" s="53"/>
      <c r="W14" s="53"/>
      <c r="X14" s="53"/>
    </row>
    <row r="15" ht="12.75" customHeight="1">
      <c r="A15" s="73">
        <v>10.0</v>
      </c>
      <c r="B15" s="73" t="s">
        <v>598</v>
      </c>
      <c r="C15" s="74" t="str">
        <f t="shared" si="1"/>
        <v>15</v>
      </c>
      <c r="D15" s="52" t="str">
        <f t="shared" si="2"/>
        <v>R</v>
      </c>
      <c r="E15" s="73" t="str">
        <f t="shared" si="3"/>
        <v>1</v>
      </c>
      <c r="F15" s="75" t="str">
        <f t="shared" si="4"/>
        <v>200</v>
      </c>
      <c r="G15" s="75"/>
      <c r="H15" s="70"/>
      <c r="I15" s="70"/>
      <c r="J15" s="70"/>
      <c r="K15" s="70"/>
      <c r="L15" s="70"/>
      <c r="M15" s="70"/>
      <c r="N15" s="53"/>
      <c r="O15" s="52" t="str">
        <f t="shared" si="5"/>
        <v>15</v>
      </c>
      <c r="P15" s="52" t="str">
        <f t="shared" si="6"/>
        <v>R</v>
      </c>
      <c r="Q15" s="52" t="str">
        <f t="shared" si="7"/>
        <v>1</v>
      </c>
      <c r="R15" s="52" t="str">
        <f t="shared" si="8"/>
        <v>200</v>
      </c>
      <c r="S15" s="52" t="str">
        <f t="shared" si="9"/>
        <v>200</v>
      </c>
      <c r="T15" s="53"/>
      <c r="U15" s="53"/>
      <c r="V15" s="53"/>
      <c r="W15" s="53"/>
      <c r="X15" s="53"/>
    </row>
    <row r="16" ht="12.75" customHeight="1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</row>
    <row r="17" ht="12.75" customHeight="1">
      <c r="A17" s="70"/>
      <c r="B17" s="70"/>
      <c r="C17" s="70"/>
      <c r="D17" s="70" t="s">
        <v>583</v>
      </c>
      <c r="E17" s="70"/>
      <c r="F17" s="70"/>
      <c r="G17" s="70"/>
      <c r="H17" s="70"/>
      <c r="I17" s="70"/>
      <c r="J17" s="70"/>
      <c r="K17" s="70"/>
      <c r="L17" s="70"/>
      <c r="M17" s="70"/>
      <c r="N17" s="76" t="s">
        <v>599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</row>
    <row r="18" ht="12.75" customHeight="1">
      <c r="A18" s="70"/>
      <c r="B18" s="70"/>
      <c r="C18" s="70"/>
      <c r="D18" s="70" t="s">
        <v>96</v>
      </c>
      <c r="E18" s="70"/>
      <c r="F18" s="70"/>
      <c r="G18" s="53"/>
      <c r="H18" s="70"/>
      <c r="I18" s="70"/>
      <c r="J18" s="70"/>
      <c r="K18" s="70"/>
      <c r="L18" s="70"/>
      <c r="M18" s="70"/>
      <c r="N18" s="77"/>
      <c r="O18" s="53"/>
      <c r="P18" s="53"/>
      <c r="Q18" s="53"/>
      <c r="R18" s="53"/>
      <c r="S18" s="53"/>
      <c r="T18" s="53"/>
      <c r="U18" s="53"/>
      <c r="V18" s="53"/>
      <c r="W18" s="53"/>
      <c r="X18" s="53"/>
    </row>
    <row r="19" ht="12.75" customHeight="1">
      <c r="A19" s="70"/>
      <c r="B19" s="70"/>
      <c r="C19" s="70"/>
      <c r="D19" s="73"/>
      <c r="E19" s="75"/>
      <c r="F19" s="70"/>
      <c r="G19" s="70"/>
      <c r="H19" s="70"/>
      <c r="I19" s="70"/>
      <c r="J19" s="70"/>
      <c r="K19" s="70"/>
      <c r="L19" s="70"/>
      <c r="M19" s="70"/>
      <c r="N19" s="78" t="s">
        <v>600</v>
      </c>
      <c r="O19" s="53"/>
      <c r="P19" s="53"/>
      <c r="Q19" s="53"/>
      <c r="R19" s="53"/>
      <c r="S19" s="53"/>
      <c r="T19" s="53"/>
      <c r="U19" s="53"/>
      <c r="V19" s="53"/>
      <c r="W19" s="53"/>
      <c r="X19" s="53"/>
    </row>
    <row r="20" ht="12.75" customHeight="1">
      <c r="A20" s="70"/>
      <c r="B20" s="70"/>
      <c r="C20" s="70" t="s">
        <v>583</v>
      </c>
      <c r="D20" s="70" t="s">
        <v>601</v>
      </c>
      <c r="E20" s="70" t="s">
        <v>602</v>
      </c>
      <c r="F20" s="70"/>
      <c r="G20" s="70"/>
      <c r="H20" s="70"/>
      <c r="I20" s="70"/>
      <c r="J20" s="70"/>
      <c r="K20" s="70"/>
      <c r="L20" s="70"/>
      <c r="M20" s="70"/>
      <c r="N20" s="77" t="s">
        <v>603</v>
      </c>
      <c r="O20" s="53"/>
      <c r="P20" s="53"/>
      <c r="Q20" s="53"/>
      <c r="R20" s="53"/>
      <c r="S20" s="53"/>
      <c r="T20" s="53"/>
      <c r="U20" s="53"/>
      <c r="V20" s="53"/>
      <c r="W20" s="53"/>
      <c r="X20" s="53"/>
    </row>
    <row r="21" ht="12.75" customHeight="1">
      <c r="A21" s="70"/>
      <c r="B21" s="70"/>
      <c r="C21" s="79"/>
      <c r="D21" s="79" t="str">
        <f>DAVERAGE(A5:F15, 6, D17:D18)</f>
        <v>  250.0 </v>
      </c>
      <c r="E21" s="80" t="str">
        <f>DCOUNT(A5:F15, , D17:D18)</f>
        <v>#VALUE!</v>
      </c>
      <c r="F21" s="70"/>
      <c r="G21" s="70"/>
      <c r="H21" s="70"/>
      <c r="I21" s="73"/>
      <c r="J21" s="73"/>
      <c r="K21" s="70"/>
      <c r="L21" s="70"/>
      <c r="M21" s="70"/>
      <c r="N21" s="77" t="s">
        <v>604</v>
      </c>
      <c r="O21" s="53"/>
      <c r="P21" s="53"/>
      <c r="Q21" s="53"/>
      <c r="R21" s="53"/>
      <c r="S21" s="53"/>
      <c r="T21" s="53"/>
      <c r="U21" s="53"/>
      <c r="V21" s="53"/>
      <c r="W21" s="53"/>
      <c r="X21" s="53"/>
    </row>
    <row r="22" ht="12.75" customHeight="1">
      <c r="A22" s="70"/>
      <c r="B22" s="70"/>
      <c r="C22" s="79" t="s">
        <v>587</v>
      </c>
      <c r="D22" s="79">
        <v>225.0</v>
      </c>
      <c r="E22" s="81">
        <v>2.0</v>
      </c>
      <c r="F22" s="70"/>
      <c r="G22" s="70"/>
      <c r="H22" s="70"/>
      <c r="I22" s="73"/>
      <c r="J22" s="73"/>
      <c r="K22" s="70"/>
      <c r="L22" s="70"/>
      <c r="M22" s="70"/>
      <c r="N22" s="77" t="s">
        <v>605</v>
      </c>
      <c r="O22" s="52"/>
      <c r="P22" s="52"/>
      <c r="Q22" s="52"/>
      <c r="R22" s="52"/>
      <c r="S22" s="52"/>
      <c r="T22" s="53"/>
      <c r="U22" s="52"/>
      <c r="V22" s="52"/>
      <c r="W22" s="52"/>
      <c r="X22" s="52"/>
    </row>
    <row r="23" ht="12.75" customHeight="1">
      <c r="A23" s="70"/>
      <c r="B23" s="70"/>
      <c r="C23" s="79" t="s">
        <v>589</v>
      </c>
      <c r="D23" s="79">
        <v>252.5</v>
      </c>
      <c r="E23" s="81">
        <v>2.0</v>
      </c>
      <c r="F23" s="70"/>
      <c r="G23" s="70"/>
      <c r="H23" s="70"/>
      <c r="I23" s="73"/>
      <c r="J23" s="73"/>
      <c r="K23" s="70"/>
      <c r="L23" s="70"/>
      <c r="M23" s="70"/>
      <c r="N23" s="77" t="s">
        <v>606</v>
      </c>
      <c r="O23" s="52"/>
      <c r="P23" s="52"/>
      <c r="Q23" s="52"/>
      <c r="R23" s="52"/>
      <c r="S23" s="52"/>
      <c r="T23" s="53"/>
      <c r="U23" s="52"/>
      <c r="V23" s="52"/>
      <c r="W23" s="52"/>
      <c r="X23" s="52"/>
    </row>
    <row r="24" ht="12.75" customHeight="1">
      <c r="A24" s="70"/>
      <c r="B24" s="70"/>
      <c r="C24" s="79" t="s">
        <v>591</v>
      </c>
      <c r="D24" s="79">
        <v>250.0</v>
      </c>
      <c r="E24" s="81">
        <v>3.0</v>
      </c>
      <c r="F24" s="70"/>
      <c r="G24" s="70"/>
      <c r="H24" s="70"/>
      <c r="I24" s="73"/>
      <c r="J24" s="73"/>
      <c r="K24" s="70"/>
      <c r="L24" s="70"/>
      <c r="M24" s="70"/>
      <c r="N24" s="77"/>
      <c r="O24" s="52"/>
      <c r="P24" s="52"/>
      <c r="Q24" s="52"/>
      <c r="R24" s="52"/>
      <c r="S24" s="52"/>
      <c r="T24" s="53"/>
      <c r="U24" s="52"/>
      <c r="V24" s="52"/>
      <c r="W24" s="52"/>
      <c r="X24" s="52"/>
    </row>
    <row r="25" ht="12.75" customHeight="1">
      <c r="A25" s="70"/>
      <c r="B25" s="70"/>
      <c r="C25" s="79" t="s">
        <v>96</v>
      </c>
      <c r="D25" s="79">
        <v>250.0</v>
      </c>
      <c r="E25" s="80">
        <v>3.0</v>
      </c>
      <c r="F25" s="70"/>
      <c r="G25" s="70"/>
      <c r="H25" s="70"/>
      <c r="I25" s="73"/>
      <c r="J25" s="73"/>
      <c r="K25" s="70"/>
      <c r="L25" s="70"/>
      <c r="M25" s="70"/>
      <c r="N25" s="78" t="s">
        <v>607</v>
      </c>
      <c r="O25" s="52"/>
      <c r="P25" s="52"/>
      <c r="Q25" s="52"/>
      <c r="R25" s="52"/>
      <c r="S25" s="52"/>
      <c r="T25" s="53"/>
      <c r="U25" s="52"/>
      <c r="V25" s="52"/>
      <c r="W25" s="52"/>
      <c r="X25" s="52"/>
    </row>
    <row r="26" ht="12.75" customHeight="1">
      <c r="A26" s="70"/>
      <c r="B26" s="70"/>
      <c r="C26" s="53"/>
      <c r="D26" s="53"/>
      <c r="E26" s="53"/>
      <c r="F26" s="53"/>
      <c r="G26" s="70"/>
      <c r="H26" s="70"/>
      <c r="I26" s="73"/>
      <c r="J26" s="73"/>
      <c r="K26" s="70"/>
      <c r="L26" s="70"/>
      <c r="M26" s="70"/>
      <c r="N26" s="77"/>
      <c r="O26" s="52"/>
      <c r="P26" s="52"/>
      <c r="Q26" s="52"/>
      <c r="R26" s="52"/>
      <c r="S26" s="52"/>
      <c r="T26" s="53"/>
      <c r="U26" s="52"/>
      <c r="V26" s="52"/>
      <c r="W26" s="52"/>
      <c r="X26" s="52"/>
    </row>
    <row r="27" ht="12.75" customHeight="1">
      <c r="A27" s="70"/>
      <c r="B27" s="70"/>
      <c r="C27" s="53"/>
      <c r="D27" s="82" t="str">
        <f t="shared" ref="D27:E27" si="10">MAX(D21:D25)</f>
        <v>  252.5 </v>
      </c>
      <c r="E27" s="82" t="str">
        <f t="shared" si="10"/>
        <v>#VALUE!</v>
      </c>
      <c r="F27" s="53"/>
      <c r="G27" s="70"/>
      <c r="H27" s="70"/>
      <c r="I27" s="70"/>
      <c r="J27" s="70"/>
      <c r="K27" s="70"/>
      <c r="L27" s="70"/>
      <c r="M27" s="70"/>
      <c r="N27" s="78" t="s">
        <v>608</v>
      </c>
      <c r="O27" s="53"/>
      <c r="P27" s="53"/>
      <c r="Q27" s="53"/>
      <c r="R27" s="53"/>
      <c r="S27" s="53"/>
      <c r="T27" s="53"/>
      <c r="U27" s="53"/>
      <c r="V27" s="53"/>
      <c r="W27" s="53"/>
      <c r="X27" s="53"/>
    </row>
    <row r="28" ht="12.75" customHeight="1">
      <c r="A28" s="70"/>
      <c r="B28" s="70"/>
      <c r="C28" s="70"/>
      <c r="D28" s="83" t="str">
        <f t="shared" ref="D28:E28" si="11">INDEX($C$22:$C$25, MATCH(D27, D22:D25, 0))</f>
        <v> O </v>
      </c>
      <c r="E28" s="75" t="str">
        <f t="shared" si="11"/>
        <v>#VALUE!</v>
      </c>
      <c r="F28" s="70"/>
      <c r="G28" s="70"/>
      <c r="H28" s="70"/>
      <c r="I28" s="70"/>
      <c r="J28" s="70"/>
      <c r="K28" s="70"/>
      <c r="L28" s="70"/>
      <c r="M28" s="70"/>
      <c r="N28" s="77"/>
      <c r="O28" s="53"/>
      <c r="P28" s="53"/>
      <c r="Q28" s="53"/>
      <c r="R28" s="53"/>
      <c r="S28" s="53"/>
      <c r="T28" s="53"/>
      <c r="U28" s="53"/>
      <c r="V28" s="53"/>
      <c r="W28" s="53"/>
      <c r="X28" s="53"/>
    </row>
    <row r="29" ht="12.75" customHeight="1">
      <c r="A29" s="70"/>
      <c r="B29" s="70"/>
      <c r="C29" s="70"/>
      <c r="D29" s="75"/>
      <c r="E29" s="75"/>
      <c r="F29" s="70"/>
      <c r="G29" s="70"/>
      <c r="H29" s="70"/>
      <c r="I29" s="70"/>
      <c r="J29" s="70"/>
      <c r="K29" s="70"/>
      <c r="L29" s="70"/>
      <c r="M29" s="70"/>
      <c r="N29" s="78" t="s">
        <v>609</v>
      </c>
      <c r="O29" s="52"/>
      <c r="P29" s="53"/>
      <c r="Q29" s="53"/>
      <c r="R29" s="53"/>
      <c r="S29" s="53"/>
      <c r="T29" s="53"/>
      <c r="U29" s="53"/>
      <c r="V29" s="53"/>
      <c r="W29" s="53"/>
      <c r="X29" s="53"/>
    </row>
    <row r="30" ht="12.75" customHeight="1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77"/>
      <c r="O30" s="53"/>
      <c r="P30" s="53"/>
      <c r="Q30" s="53"/>
      <c r="R30" s="53"/>
      <c r="S30" s="53"/>
      <c r="T30" s="53"/>
      <c r="U30" s="53"/>
      <c r="V30" s="53"/>
      <c r="W30" s="53"/>
      <c r="X30" s="53"/>
    </row>
    <row r="31" ht="12.75" customHeight="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78" t="s">
        <v>610</v>
      </c>
      <c r="O31" s="53"/>
      <c r="P31" s="53"/>
      <c r="Q31" s="53"/>
      <c r="R31" s="53"/>
      <c r="S31" s="53"/>
      <c r="T31" s="53"/>
      <c r="U31" s="53"/>
      <c r="V31" s="53"/>
      <c r="W31" s="53"/>
      <c r="X31" s="53"/>
    </row>
    <row r="32" ht="12.75" customHeight="1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77"/>
      <c r="O32" s="53"/>
      <c r="P32" s="53"/>
      <c r="Q32" s="53"/>
      <c r="R32" s="53"/>
      <c r="S32" s="53"/>
      <c r="T32" s="53"/>
      <c r="U32" s="53"/>
      <c r="V32" s="53"/>
      <c r="W32" s="53"/>
      <c r="X32" s="53"/>
    </row>
    <row r="33" ht="12.75" customHeight="1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78" t="s">
        <v>611</v>
      </c>
      <c r="O33" s="53"/>
      <c r="P33" s="53"/>
      <c r="Q33" s="53"/>
      <c r="R33" s="53"/>
      <c r="S33" s="53"/>
      <c r="T33" s="53"/>
      <c r="U33" s="53"/>
      <c r="V33" s="53"/>
      <c r="W33" s="53"/>
      <c r="X33" s="53"/>
    </row>
    <row r="34" ht="12.75" customHeight="1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</row>
    <row r="35" ht="12.75" customHeight="1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</row>
    <row r="36" ht="12.75" customHeight="1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</row>
    <row r="37" ht="12.75" customHeight="1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</row>
    <row r="38" ht="12.75" customHeight="1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</row>
    <row r="39" ht="12.75" customHeight="1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</row>
    <row r="40" ht="12.75" customHeight="1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</row>
    <row r="41" ht="12.75" customHeight="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</row>
    <row r="42" ht="12.75" customHeight="1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</row>
    <row r="43" ht="12.75" customHeight="1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</row>
    <row r="44" ht="12.75" customHeight="1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</row>
    <row r="45" ht="12.75" customHeight="1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</row>
    <row r="46" ht="12.75" customHeight="1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</row>
    <row r="47" ht="12.75" customHeight="1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</row>
    <row r="48" ht="12.75" customHeight="1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</row>
    <row r="49" ht="12.75" customHeight="1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</row>
    <row r="50" ht="12.75" customHeight="1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</row>
    <row r="51" ht="12.75" customHeight="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</row>
    <row r="52" ht="12.75" customHeight="1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</row>
    <row r="53" ht="12.75" customHeight="1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</row>
    <row r="54" ht="12.75" customHeight="1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</row>
    <row r="55" ht="12.75" customHeight="1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</row>
    <row r="56" ht="12.75" customHeight="1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</row>
    <row r="57" ht="12.75" customHeight="1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</row>
    <row r="58" ht="12.75" customHeight="1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</row>
    <row r="59" ht="12.75" customHeight="1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</row>
    <row r="60" ht="12.75" customHeight="1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</row>
    <row r="61" ht="12.75" customHeight="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</row>
    <row r="62" ht="12.75" customHeight="1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</row>
    <row r="63" ht="12.75" customHeight="1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</row>
    <row r="64" ht="12.75" customHeight="1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</row>
    <row r="65" ht="12.75" customHeight="1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</row>
    <row r="66" ht="12.75" customHeight="1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</row>
    <row r="67" ht="12.75" customHeight="1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</row>
    <row r="68" ht="12.75" customHeight="1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</row>
    <row r="69" ht="12.75" customHeight="1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</row>
    <row r="70" ht="12.75" customHeight="1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</row>
    <row r="71" ht="12.75" customHeight="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</row>
    <row r="72" ht="12.75" customHeight="1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</row>
    <row r="73" ht="12.75" customHeight="1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</row>
    <row r="74" ht="12.75" customHeight="1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</row>
    <row r="75" ht="12.75" customHeight="1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</row>
    <row r="76" ht="12.75" customHeight="1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</row>
    <row r="77" ht="12.75" customHeight="1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</row>
    <row r="78" ht="12.75" customHeight="1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</row>
    <row r="79" ht="12.75" customHeight="1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</row>
    <row r="80" ht="12.75" customHeight="1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</row>
    <row r="81" ht="12.75" customHeight="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</row>
    <row r="82" ht="12.75" customHeight="1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</row>
    <row r="83" ht="12.75" customHeight="1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</row>
    <row r="84" ht="12.75" customHeight="1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</row>
    <row r="85" ht="12.75" customHeight="1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</row>
    <row r="86" ht="12.75" customHeight="1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</row>
    <row r="87" ht="12.75" customHeight="1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</row>
    <row r="88" ht="12.75" customHeight="1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</row>
    <row r="89" ht="12.75" customHeight="1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</row>
    <row r="90" ht="12.75" customHeight="1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</row>
    <row r="91" ht="12.75" customHeight="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</row>
    <row r="92" ht="12.75" customHeight="1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</row>
    <row r="93" ht="12.75" customHeight="1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</row>
    <row r="94" ht="12.75" customHeight="1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</row>
    <row r="95" ht="12.75" customHeight="1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</row>
    <row r="96" ht="12.75" customHeight="1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</row>
    <row r="97" ht="12.75" customHeight="1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</row>
    <row r="98" ht="12.75" customHeight="1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</row>
    <row r="99" ht="12.75" customHeight="1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</row>
    <row r="100" ht="12.75" customHeight="1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</row>
  </sheetData>
  <mergeCells count="1">
    <mergeCell ref="E1:F1"/>
  </mergeCells>
  <printOptions/>
  <pageMargins bottom="1.0" footer="0.0" header="0.0" left="0.75" right="0.75" top="1.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TotalTime>0</TotalTime>
  <ScaleCrop>false</ScaleCrop>
  <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7</vt:i4>
      </vt:variant>
    </vt:vector>
  </HeadingPairs>
  <TitlesOfParts>
    <vt:vector baseType="lpstr" size="18">
      <vt:lpstr>Formula Sheet</vt:lpstr>
      <vt:lpstr>Com Plans</vt:lpstr>
      <vt:lpstr>Com Plan Ext</vt:lpstr>
      <vt:lpstr>Wage Comp</vt:lpstr>
      <vt:lpstr>Wage Comp Ext1</vt:lpstr>
      <vt:lpstr>Wage Comp Ext2</vt:lpstr>
      <vt:lpstr>Freq Flyer</vt:lpstr>
      <vt:lpstr>DB Queries</vt:lpstr>
      <vt:lpstr>Board Exam</vt:lpstr>
      <vt:lpstr>Forbes-Data</vt:lpstr>
      <vt:lpstr>Fruit Price</vt:lpstr>
      <vt:lpstr>'DB Queries'!Criteria</vt:lpstr>
      <vt:lpstr>'Forbes-Data'!Criteria</vt:lpstr>
      <vt:lpstr>db</vt:lpstr>
      <vt:lpstr>'DB Queries'!Extract</vt:lpstr>
      <vt:lpstr>'Forbes-Data'!Extract</vt:lpstr>
      <vt:lpstr>forbesdb</vt:lpstr>
      <vt:lpstr>marks_db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2020-10-01T17:16:23Z</dcterms:created>
  <dc:creator>Sumit Garg</dc:creator>
  <cp:lastModifiedBy>Sumit Garg</cp:lastModifiedBy>
  <dcterms:modified xsi:type="dcterms:W3CDTF">2020-10-03T13:09:41Z</dcterms:modified>
</cp:coreProperties>
</file>