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esktop\IIMA Course Study\Quantitative Decision Making_Diptesh\"/>
    </mc:Choice>
  </mc:AlternateContent>
  <xr:revisionPtr revIDLastSave="0" documentId="13_ncr:1_{FA56F61C-87C3-4C76-99D0-1372EE6DDF51}" xr6:coauthVersionLast="45" xr6:coauthVersionMax="45" xr10:uidLastSave="{00000000-0000-0000-0000-000000000000}"/>
  <bookViews>
    <workbookView xWindow="-108" yWindow="-108" windowWidth="23256" windowHeight="12576" activeTab="1" xr2:uid="{AFB49B9E-298D-4491-B42E-1D7A02933539}"/>
  </bookViews>
  <sheets>
    <sheet name="Uncertainity_Risk" sheetId="1" r:id="rId1"/>
    <sheet name="Decision tree" sheetId="2" r:id="rId2"/>
  </sheets>
  <definedNames>
    <definedName name="solver_adj" localSheetId="0" hidden="1">Uncertainity_Risk!$K$89:$L$89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Uncertainity_Risk!#REF!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Uncertainity_Risk!$M$90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Uncertainity_Risk!#REF!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5" i="1" l="1"/>
  <c r="F4" i="1"/>
  <c r="G7" i="1"/>
  <c r="G4" i="1"/>
  <c r="F7" i="1"/>
  <c r="C134" i="2" l="1"/>
  <c r="C115" i="2"/>
  <c r="F68" i="2"/>
  <c r="F74" i="2"/>
  <c r="B63" i="2"/>
  <c r="C94" i="2"/>
  <c r="D91" i="2"/>
  <c r="D34" i="2"/>
  <c r="B38" i="2" s="1"/>
  <c r="D11" i="2"/>
  <c r="F8" i="2" s="1"/>
  <c r="H6" i="2" s="1"/>
  <c r="K6" i="2" s="1"/>
  <c r="D13" i="2"/>
  <c r="D12" i="2"/>
  <c r="F9" i="2" s="1"/>
  <c r="H7" i="2" s="1"/>
  <c r="K7" i="2" s="1"/>
  <c r="H136" i="1"/>
  <c r="H137" i="1"/>
  <c r="H138" i="1"/>
  <c r="H135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D136" i="1"/>
  <c r="D137" i="1"/>
  <c r="D138" i="1"/>
  <c r="D135" i="1"/>
  <c r="P127" i="1"/>
  <c r="Q127" i="1"/>
  <c r="R127" i="1"/>
  <c r="S127" i="1"/>
  <c r="P128" i="1"/>
  <c r="Q128" i="1"/>
  <c r="R128" i="1"/>
  <c r="S128" i="1"/>
  <c r="P129" i="1"/>
  <c r="Q129" i="1"/>
  <c r="R129" i="1"/>
  <c r="S129" i="1"/>
  <c r="Q126" i="1"/>
  <c r="R126" i="1"/>
  <c r="S126" i="1"/>
  <c r="P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K126" i="1"/>
  <c r="L126" i="1"/>
  <c r="M126" i="1"/>
  <c r="J126" i="1"/>
  <c r="D127" i="1"/>
  <c r="E127" i="1"/>
  <c r="F127" i="1"/>
  <c r="G127" i="1"/>
  <c r="D128" i="1"/>
  <c r="E128" i="1"/>
  <c r="F128" i="1"/>
  <c r="G128" i="1"/>
  <c r="D129" i="1"/>
  <c r="E129" i="1"/>
  <c r="F129" i="1"/>
  <c r="G129" i="1"/>
  <c r="E126" i="1"/>
  <c r="F126" i="1"/>
  <c r="G126" i="1"/>
  <c r="D12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P118" i="1"/>
  <c r="P119" i="1"/>
  <c r="P120" i="1"/>
  <c r="P117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J118" i="1"/>
  <c r="J119" i="1"/>
  <c r="J120" i="1"/>
  <c r="J117" i="1"/>
  <c r="E118" i="1"/>
  <c r="F118" i="1"/>
  <c r="G118" i="1"/>
  <c r="E119" i="1"/>
  <c r="F119" i="1"/>
  <c r="G119" i="1"/>
  <c r="E120" i="1"/>
  <c r="F120" i="1"/>
  <c r="G120" i="1"/>
  <c r="E117" i="1"/>
  <c r="F117" i="1"/>
  <c r="G117" i="1"/>
  <c r="D118" i="1"/>
  <c r="D119" i="1"/>
  <c r="D120" i="1"/>
  <c r="D117" i="1"/>
  <c r="F99" i="1"/>
  <c r="F100" i="1"/>
  <c r="F98" i="1"/>
  <c r="F83" i="1"/>
  <c r="F82" i="1"/>
  <c r="H66" i="1"/>
  <c r="H65" i="1"/>
  <c r="K55" i="1"/>
  <c r="L40" i="1"/>
  <c r="L41" i="1"/>
  <c r="L42" i="1"/>
  <c r="L43" i="1"/>
  <c r="L44" i="1"/>
  <c r="L39" i="1"/>
  <c r="J40" i="1"/>
  <c r="J41" i="1"/>
  <c r="J42" i="1"/>
  <c r="J43" i="1"/>
  <c r="J44" i="1"/>
  <c r="J39" i="1"/>
  <c r="I40" i="1"/>
  <c r="I41" i="1"/>
  <c r="I42" i="1"/>
  <c r="I43" i="1"/>
  <c r="I44" i="1"/>
  <c r="I39" i="1"/>
  <c r="S26" i="1"/>
  <c r="F24" i="1"/>
  <c r="I15" i="1"/>
  <c r="I14" i="1"/>
  <c r="B72" i="2" l="1"/>
  <c r="I46" i="1"/>
  <c r="J46" i="1"/>
  <c r="L65" i="1"/>
  <c r="H67" i="1"/>
  <c r="G26" i="1"/>
  <c r="G25" i="1"/>
  <c r="G24" i="1"/>
  <c r="F26" i="1"/>
  <c r="F25" i="1"/>
  <c r="F28" i="1" l="1"/>
  <c r="G28" i="1"/>
  <c r="N66" i="1"/>
  <c r="N67" i="1"/>
  <c r="N65" i="1"/>
  <c r="M66" i="1"/>
  <c r="M67" i="1"/>
  <c r="M65" i="1"/>
  <c r="P65" i="1" s="1"/>
  <c r="L66" i="1"/>
  <c r="L67" i="1"/>
  <c r="P67" i="1" s="1"/>
  <c r="D69" i="1"/>
  <c r="E69" i="1"/>
  <c r="C69" i="1"/>
  <c r="S27" i="1"/>
  <c r="K25" i="1"/>
  <c r="K26" i="1"/>
  <c r="K24" i="1"/>
  <c r="J25" i="1"/>
  <c r="M25" i="1" s="1"/>
  <c r="J26" i="1"/>
  <c r="J24" i="1"/>
  <c r="M24" i="1" s="1"/>
  <c r="G15" i="1"/>
  <c r="F15" i="1"/>
  <c r="G14" i="1"/>
  <c r="G17" i="1" s="1"/>
  <c r="F14" i="1"/>
  <c r="F17" i="1" s="1"/>
  <c r="G5" i="1"/>
  <c r="F5" i="1"/>
  <c r="P66" i="1" l="1"/>
  <c r="Q65" i="1" s="1"/>
  <c r="M26" i="1"/>
  <c r="N24" i="1"/>
</calcChain>
</file>

<file path=xl/sharedStrings.xml><?xml version="1.0" encoding="utf-8"?>
<sst xmlns="http://schemas.openxmlformats.org/spreadsheetml/2006/main" count="248" uniqueCount="184">
  <si>
    <t>Good</t>
  </si>
  <si>
    <t>Bad</t>
  </si>
  <si>
    <t>Decision</t>
  </si>
  <si>
    <t>Lease land</t>
  </si>
  <si>
    <t>Saving cert</t>
  </si>
  <si>
    <t>Maximax</t>
  </si>
  <si>
    <t>Maximin</t>
  </si>
  <si>
    <t>Farmer</t>
  </si>
  <si>
    <t>Bellhop/Mgr</t>
  </si>
  <si>
    <t>Bellhop</t>
  </si>
  <si>
    <t>Mgr</t>
  </si>
  <si>
    <t>Farmer in Georgia</t>
  </si>
  <si>
    <t>Crop</t>
  </si>
  <si>
    <t>Corn</t>
  </si>
  <si>
    <t>Peanuts</t>
  </si>
  <si>
    <t>Soya</t>
  </si>
  <si>
    <t>Pass</t>
  </si>
  <si>
    <t>Fail</t>
  </si>
  <si>
    <t>Minimax Regret</t>
  </si>
  <si>
    <t>Regret table</t>
  </si>
  <si>
    <t xml:space="preserve"> MAX(D24:D26)</t>
  </si>
  <si>
    <t>MAX(C24:C26)</t>
  </si>
  <si>
    <t>MinMax</t>
  </si>
  <si>
    <t>Max</t>
  </si>
  <si>
    <t>Step 2 (Create Regret table by subtracting value from max profit)</t>
  </si>
  <si>
    <t>Step 1 (Find Max profit) in each scenario</t>
  </si>
  <si>
    <t>Step 3 Find Max regret row wise</t>
  </si>
  <si>
    <t>Step 4 Find Min Max regret</t>
  </si>
  <si>
    <t>Expected value</t>
  </si>
  <si>
    <t>Heavy Snows</t>
  </si>
  <si>
    <t xml:space="preserve">Allen hires </t>
  </si>
  <si>
    <t>Allen buys shovel</t>
  </si>
  <si>
    <t>No of snows</t>
  </si>
  <si>
    <t>Probability</t>
  </si>
  <si>
    <t xml:space="preserve">Snow shovel charges per time </t>
  </si>
  <si>
    <t>Miramar</t>
  </si>
  <si>
    <t>Widget</t>
  </si>
  <si>
    <t>Hammer</t>
  </si>
  <si>
    <t>Nimmot</t>
  </si>
  <si>
    <t>Favorable</t>
  </si>
  <si>
    <t>stable</t>
  </si>
  <si>
    <t>Unfavorable</t>
  </si>
  <si>
    <t>How much firm would be willing to pay market reseach firm to get better information ??</t>
  </si>
  <si>
    <t>Expected value for each decision</t>
  </si>
  <si>
    <t>Opportunity loss (Regret table)</t>
  </si>
  <si>
    <t>Max regret</t>
  </si>
  <si>
    <t>Min regret</t>
  </si>
  <si>
    <t>Hurwichz (alpha=0.4) (Chances of fail/bad =0.4)</t>
  </si>
  <si>
    <t>Hurwichz (Coefficient of pessimism)</t>
  </si>
  <si>
    <t>Hurwichz (Coeffiecint of pessimism =0.3)</t>
  </si>
  <si>
    <t>Investments</t>
  </si>
  <si>
    <t>Money Market Fund</t>
  </si>
  <si>
    <t>Stock growth fund</t>
  </si>
  <si>
    <t>Bond fund</t>
  </si>
  <si>
    <t>Govt Fund</t>
  </si>
  <si>
    <t>Risk Fund</t>
  </si>
  <si>
    <t>Savings Gund</t>
  </si>
  <si>
    <t>Interest Rate</t>
  </si>
  <si>
    <t>Equal likelihood probb</t>
  </si>
  <si>
    <t>Equal likelihood (Expected value)</t>
  </si>
  <si>
    <t>Expeected value if Allen hires someone to clean the snow</t>
  </si>
  <si>
    <t>Expected value if Allen buys the snow shovel</t>
  </si>
  <si>
    <t>The firm should be ready to pay less than 60000 for market research (Basis the answer received as per Minmax regret technique)</t>
  </si>
  <si>
    <t>Investment</t>
  </si>
  <si>
    <t>Stocks</t>
  </si>
  <si>
    <t>Bonds</t>
  </si>
  <si>
    <t>Econominc condition</t>
  </si>
  <si>
    <t>What probability of economic condition will make the investor indifferent to the choice between stocks and bonds</t>
  </si>
  <si>
    <t xml:space="preserve">At the point where the expected value between stocks and bonds is same </t>
  </si>
  <si>
    <t>10000A-4000B-7000A-2000B=0</t>
  </si>
  <si>
    <t>A probb</t>
  </si>
  <si>
    <t>B probb</t>
  </si>
  <si>
    <t>Equation when the expected value is ame</t>
  </si>
  <si>
    <t>Simplified equation</t>
  </si>
  <si>
    <t>A+B=1</t>
  </si>
  <si>
    <t>A-2B=0</t>
  </si>
  <si>
    <t>Solving the 2 equations we get A=0.66 and B=0.33</t>
  </si>
  <si>
    <t>Dealership</t>
  </si>
  <si>
    <t>Compact cars</t>
  </si>
  <si>
    <t>Full sized cars</t>
  </si>
  <si>
    <t>Trucks</t>
  </si>
  <si>
    <t>Shortage</t>
  </si>
  <si>
    <t>Surplus</t>
  </si>
  <si>
    <t xml:space="preserve">Dealershp </t>
  </si>
  <si>
    <t>Loebuck Grocery</t>
  </si>
  <si>
    <t>Demand cases</t>
  </si>
  <si>
    <t>Probability of demand</t>
  </si>
  <si>
    <t>Cost price</t>
  </si>
  <si>
    <t>Selling price</t>
  </si>
  <si>
    <t>Deficit</t>
  </si>
  <si>
    <t>Demand matcesh stock</t>
  </si>
  <si>
    <t>Demand =Stock (2$ profit)</t>
  </si>
  <si>
    <t>Surplus(Loss@8$)</t>
  </si>
  <si>
    <t>Deficit(Loss@4)</t>
  </si>
  <si>
    <t>Stock</t>
  </si>
  <si>
    <t>Demand</t>
  </si>
  <si>
    <t>4 $ loss</t>
  </si>
  <si>
    <t>8 $ loss</t>
  </si>
  <si>
    <t>2 $ profit</t>
  </si>
  <si>
    <t>Profit/Loss table</t>
  </si>
  <si>
    <t>Milk Sold (Profit per case)</t>
  </si>
  <si>
    <t>Milk remaining (Loss per case)</t>
  </si>
  <si>
    <t>Milk Deficit (Loss per case)</t>
  </si>
  <si>
    <t>Expected value table</t>
  </si>
  <si>
    <t>Final expected value</t>
  </si>
  <si>
    <t>Decision Tree analysis</t>
  </si>
  <si>
    <t xml:space="preserve">Decision point </t>
  </si>
  <si>
    <t>0.2*200000+0.8*70000</t>
  </si>
  <si>
    <t>0.35*105000+0.65*40000</t>
  </si>
  <si>
    <t>0.4*300000+0.6*60000</t>
  </si>
  <si>
    <t>(Point 7) -20000 
OR 45000</t>
  </si>
  <si>
    <t>(Point 4)*0.3+0.7*75000</t>
  </si>
  <si>
    <t>(Point 8) -17000 
OR 60000</t>
  </si>
  <si>
    <t>(Point 9) -9000 
OR 55000</t>
  </si>
  <si>
    <t>(Point 5)*0.15+ (Point 6) *0.55 + 0.3 *80,000</t>
  </si>
  <si>
    <t>Point 2 -70,000</t>
  </si>
  <si>
    <t>Point 3 -50,000</t>
  </si>
  <si>
    <t>Bank Generator installation problem</t>
  </si>
  <si>
    <t>First American Bank</t>
  </si>
  <si>
    <t xml:space="preserve">Estimated loss </t>
  </si>
  <si>
    <t xml:space="preserve">Cost of Emergency generation </t>
  </si>
  <si>
    <t>Generator not installed</t>
  </si>
  <si>
    <t>10% chance outage will occur</t>
  </si>
  <si>
    <t>5%chance that damage will be 80MM USD</t>
  </si>
  <si>
    <t>95% chance that damage will be 1 MM USD</t>
  </si>
  <si>
    <t xml:space="preserve">Bank decision </t>
  </si>
  <si>
    <t>Invest in Generator</t>
  </si>
  <si>
    <t>Not invest in Generator</t>
  </si>
  <si>
    <t>10%chance power outage</t>
  </si>
  <si>
    <t>90% chance no outage</t>
  </si>
  <si>
    <t>5% damage is 80MM</t>
  </si>
  <si>
    <t>95% damage is 1 MM Usd</t>
  </si>
  <si>
    <t>O loss</t>
  </si>
  <si>
    <t>Banks final decision is not ot invest in Generator as cost of 4.95 is lesser than 8.00</t>
  </si>
  <si>
    <t>Jeffrey Mogul =Hollywood problem</t>
  </si>
  <si>
    <t>New director</t>
  </si>
  <si>
    <t>Success is at 10% probb</t>
  </si>
  <si>
    <t>Flop is at 90% probb</t>
  </si>
  <si>
    <t>Film is hit will make 25MM profit</t>
  </si>
  <si>
    <t xml:space="preserve">Film fails will make loss of -8MM </t>
  </si>
  <si>
    <t>Expert Roper able to predict success with probb 70%</t>
  </si>
  <si>
    <t>Expert Roper able to predict failure with probb 80%</t>
  </si>
  <si>
    <t>Roper fees is 1 MM USD</t>
  </si>
  <si>
    <t xml:space="preserve">Hire Roper as expert </t>
  </si>
  <si>
    <t>No</t>
  </si>
  <si>
    <t>Yes</t>
  </si>
  <si>
    <t>Film made with new director</t>
  </si>
  <si>
    <t>Success</t>
  </si>
  <si>
    <t>Failure</t>
  </si>
  <si>
    <t xml:space="preserve"> - 1 MM fees paid for expert</t>
  </si>
  <si>
    <t xml:space="preserve">Roper predicts </t>
  </si>
  <si>
    <t>90% chance to make loss of 8 MM</t>
  </si>
  <si>
    <t>10% chance to make 25 MM profit</t>
  </si>
  <si>
    <t xml:space="preserve">Film success chance </t>
  </si>
  <si>
    <t>Film doesn’t succed</t>
  </si>
  <si>
    <t>8 MM loss</t>
  </si>
  <si>
    <t xml:space="preserve">25MM </t>
  </si>
  <si>
    <t>8 MM los</t>
  </si>
  <si>
    <t>Film success</t>
  </si>
  <si>
    <t>Final solution : Hire Roper and make the movie only if success is predicted</t>
  </si>
  <si>
    <t>Settlement = 600K</t>
  </si>
  <si>
    <t>Go for court case</t>
  </si>
  <si>
    <t>Pass(50%)</t>
  </si>
  <si>
    <t>Option 1</t>
  </si>
  <si>
    <t>Option 2</t>
  </si>
  <si>
    <t>Jay Suego</t>
  </si>
  <si>
    <t>75 K Loss</t>
  </si>
  <si>
    <t>Win case (50%)</t>
  </si>
  <si>
    <t>Fail case (50%)</t>
  </si>
  <si>
    <t>Option 2 (50%) chance to win 500K</t>
  </si>
  <si>
    <t>Option 1 (50%) to win 2,000 K</t>
  </si>
  <si>
    <t>Jay Suego should take the settlement as it is 600K higher than the expected value of 587 if he goes to fight the case</t>
  </si>
  <si>
    <t>Annie Hays</t>
  </si>
  <si>
    <t>Annie Hays investment is 150K</t>
  </si>
  <si>
    <t xml:space="preserve">Option1 (Invest in Bank for 1 year) </t>
  </si>
  <si>
    <t xml:space="preserve">162K </t>
  </si>
  <si>
    <t>Option 2 (Specualtive oil market)</t>
  </si>
  <si>
    <t xml:space="preserve">Fail (50%) </t>
  </si>
  <si>
    <t>300K</t>
  </si>
  <si>
    <t xml:space="preserve">Loss 150K </t>
  </si>
  <si>
    <t>Soln (a)</t>
  </si>
  <si>
    <t>Soln (b)</t>
  </si>
  <si>
    <t>Pass(80%)</t>
  </si>
  <si>
    <t xml:space="preserve">Fail (20%)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</si>
</sst>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_ ;_ * \-#,##0_ ;_ * &quot;-&quot;??_ ;_ @_ "/>
    <numFmt numFmtId="165" formatCode="0.0"/>
    <numFmt numFmtId="166" formatCode="_ * #,##0.0_ ;_ * \-#,##0.0_ ;_ * &quot;-&quot;?_ ;_ @_ "/>
    <numFmt numFmtId="167" formatCode="_ * #,##0_ ;_ * \-#,##0_ ;_ * &quot;-&quot;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1" applyNumberFormat="1" applyFont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4" fontId="0" fillId="2" borderId="1" xfId="0" applyNumberForma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164" fontId="0" fillId="2" borderId="6" xfId="0" applyNumberForma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9" fontId="0" fillId="0" borderId="1" xfId="0" applyNumberFormat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167" fontId="0" fillId="5" borderId="0" xfId="0" applyNumberFormat="1" applyFill="1" applyAlignment="1">
      <alignment horizontal="left" vertical="top"/>
    </xf>
    <xf numFmtId="166" fontId="0" fillId="0" borderId="1" xfId="0" applyNumberFormat="1" applyBorder="1" applyAlignment="1">
      <alignment horizontal="left" vertical="top"/>
    </xf>
    <xf numFmtId="167" fontId="0" fillId="0" borderId="1" xfId="0" applyNumberFormat="1" applyBorder="1" applyAlignment="1">
      <alignment horizontal="left" vertical="top"/>
    </xf>
    <xf numFmtId="167" fontId="0" fillId="5" borderId="1" xfId="0" applyNumberFormat="1" applyFill="1" applyBorder="1" applyAlignment="1">
      <alignment horizontal="left" vertical="top"/>
    </xf>
    <xf numFmtId="164" fontId="0" fillId="5" borderId="0" xfId="0" applyNumberFormat="1" applyFill="1" applyAlignment="1">
      <alignment horizontal="left" vertical="top"/>
    </xf>
    <xf numFmtId="164" fontId="0" fillId="5" borderId="0" xfId="1" applyNumberFormat="1" applyFont="1" applyFill="1" applyAlignment="1">
      <alignment horizontal="left" vertical="top"/>
    </xf>
    <xf numFmtId="164" fontId="0" fillId="2" borderId="0" xfId="1" applyNumberFormat="1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33</xdr:row>
      <xdr:rowOff>53340</xdr:rowOff>
    </xdr:from>
    <xdr:to>
      <xdr:col>4</xdr:col>
      <xdr:colOff>1082040</xdr:colOff>
      <xdr:row>34</xdr:row>
      <xdr:rowOff>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6BEC661-4829-4002-B60A-7BDFDF563774}"/>
            </a:ext>
          </a:extLst>
        </xdr:cNvPr>
        <xdr:cNvCxnSpPr/>
      </xdr:nvCxnSpPr>
      <xdr:spPr>
        <a:xfrm flipV="1">
          <a:off x="4709160" y="7185660"/>
          <a:ext cx="495300" cy="129540"/>
        </a:xfrm>
        <a:prstGeom prst="bentConnector3">
          <a:avLst>
            <a:gd name="adj1" fmla="val 2308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35</xdr:row>
      <xdr:rowOff>0</xdr:rowOff>
    </xdr:from>
    <xdr:to>
      <xdr:col>4</xdr:col>
      <xdr:colOff>1051560</xdr:colOff>
      <xdr:row>35</xdr:row>
      <xdr:rowOff>144780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4EF3F9C-C98E-4479-B577-56BFAF951C2B}"/>
            </a:ext>
          </a:extLst>
        </xdr:cNvPr>
        <xdr:cNvCxnSpPr/>
      </xdr:nvCxnSpPr>
      <xdr:spPr>
        <a:xfrm>
          <a:off x="4693920" y="7498080"/>
          <a:ext cx="480060" cy="144780"/>
        </a:xfrm>
        <a:prstGeom prst="bentConnector3">
          <a:avLst>
            <a:gd name="adj1" fmla="val 5556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1036320</xdr:colOff>
      <xdr:row>34</xdr:row>
      <xdr:rowOff>106680</xdr:rowOff>
    </xdr:from>
    <xdr:to>
      <xdr:col>2</xdr:col>
      <xdr:colOff>1310640</xdr:colOff>
      <xdr:row>35</xdr:row>
      <xdr:rowOff>53340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F842D2F-6D0C-4556-B86F-1483913D1BE0}"/>
            </a:ext>
          </a:extLst>
        </xdr:cNvPr>
        <xdr:cNvCxnSpPr/>
      </xdr:nvCxnSpPr>
      <xdr:spPr>
        <a:xfrm flipV="1">
          <a:off x="2948940" y="7421880"/>
          <a:ext cx="274320" cy="129540"/>
        </a:xfrm>
        <a:prstGeom prst="bentConnector3">
          <a:avLst>
            <a:gd name="adj1" fmla="val 2308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1021080</xdr:colOff>
      <xdr:row>37</xdr:row>
      <xdr:rowOff>137160</xdr:rowOff>
    </xdr:from>
    <xdr:to>
      <xdr:col>2</xdr:col>
      <xdr:colOff>1501140</xdr:colOff>
      <xdr:row>38</xdr:row>
      <xdr:rowOff>99060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8F28CD1B-3BD8-440B-B551-4114AC4E5B87}"/>
            </a:ext>
          </a:extLst>
        </xdr:cNvPr>
        <xdr:cNvCxnSpPr/>
      </xdr:nvCxnSpPr>
      <xdr:spPr>
        <a:xfrm>
          <a:off x="2933700" y="8001000"/>
          <a:ext cx="480060" cy="144780"/>
        </a:xfrm>
        <a:prstGeom prst="bentConnector3">
          <a:avLst>
            <a:gd name="adj1" fmla="val 5556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693420</xdr:colOff>
      <xdr:row>31</xdr:row>
      <xdr:rowOff>15240</xdr:rowOff>
    </xdr:from>
    <xdr:to>
      <xdr:col>1</xdr:col>
      <xdr:colOff>1188720</xdr:colOff>
      <xdr:row>31</xdr:row>
      <xdr:rowOff>144780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037D4AD0-5CF0-4BF8-BDA1-BBA7741DAE2F}"/>
            </a:ext>
          </a:extLst>
        </xdr:cNvPr>
        <xdr:cNvCxnSpPr/>
      </xdr:nvCxnSpPr>
      <xdr:spPr>
        <a:xfrm flipV="1">
          <a:off x="1303020" y="6781800"/>
          <a:ext cx="495300" cy="129540"/>
        </a:xfrm>
        <a:prstGeom prst="bentConnector3">
          <a:avLst>
            <a:gd name="adj1" fmla="val 2308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632460</xdr:colOff>
      <xdr:row>35</xdr:row>
      <xdr:rowOff>60960</xdr:rowOff>
    </xdr:from>
    <xdr:to>
      <xdr:col>1</xdr:col>
      <xdr:colOff>1112520</xdr:colOff>
      <xdr:row>36</xdr:row>
      <xdr:rowOff>22860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7D4C71B0-2E04-4F18-B9AB-786290976E87}"/>
            </a:ext>
          </a:extLst>
        </xdr:cNvPr>
        <xdr:cNvCxnSpPr/>
      </xdr:nvCxnSpPr>
      <xdr:spPr>
        <a:xfrm>
          <a:off x="1242060" y="7559040"/>
          <a:ext cx="480060" cy="144780"/>
        </a:xfrm>
        <a:prstGeom prst="bentConnector3">
          <a:avLst>
            <a:gd name="adj1" fmla="val 5556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784860</xdr:colOff>
      <xdr:row>63</xdr:row>
      <xdr:rowOff>99060</xdr:rowOff>
    </xdr:from>
    <xdr:to>
      <xdr:col>1</xdr:col>
      <xdr:colOff>1280160</xdr:colOff>
      <xdr:row>64</xdr:row>
      <xdr:rowOff>45720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786F76A5-E8B0-4D07-81EC-F91513A10F21}"/>
            </a:ext>
          </a:extLst>
        </xdr:cNvPr>
        <xdr:cNvCxnSpPr/>
      </xdr:nvCxnSpPr>
      <xdr:spPr>
        <a:xfrm flipV="1">
          <a:off x="1394460" y="12352020"/>
          <a:ext cx="495300" cy="129540"/>
        </a:xfrm>
        <a:prstGeom prst="bentConnector3">
          <a:avLst>
            <a:gd name="adj1" fmla="val 2308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716280</xdr:colOff>
      <xdr:row>66</xdr:row>
      <xdr:rowOff>129540</xdr:rowOff>
    </xdr:from>
    <xdr:to>
      <xdr:col>1</xdr:col>
      <xdr:colOff>1196340</xdr:colOff>
      <xdr:row>67</xdr:row>
      <xdr:rowOff>91440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7925983E-A59A-4F81-B8E1-375D410432DC}"/>
            </a:ext>
          </a:extLst>
        </xdr:cNvPr>
        <xdr:cNvCxnSpPr/>
      </xdr:nvCxnSpPr>
      <xdr:spPr>
        <a:xfrm>
          <a:off x="1325880" y="12931140"/>
          <a:ext cx="480060" cy="144780"/>
        </a:xfrm>
        <a:prstGeom prst="bentConnector3">
          <a:avLst>
            <a:gd name="adj1" fmla="val 5556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61</xdr:row>
      <xdr:rowOff>83820</xdr:rowOff>
    </xdr:from>
    <xdr:to>
      <xdr:col>2</xdr:col>
      <xdr:colOff>1325880</xdr:colOff>
      <xdr:row>62</xdr:row>
      <xdr:rowOff>137160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D50F8E80-A04E-4BFE-8C75-C56B78481D1C}"/>
            </a:ext>
          </a:extLst>
        </xdr:cNvPr>
        <xdr:cNvCxnSpPr/>
      </xdr:nvCxnSpPr>
      <xdr:spPr>
        <a:xfrm flipV="1">
          <a:off x="3055620" y="11971020"/>
          <a:ext cx="182880" cy="236220"/>
        </a:xfrm>
        <a:prstGeom prst="bentConnector3">
          <a:avLst>
            <a:gd name="adj1" fmla="val 283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1097280</xdr:colOff>
      <xdr:row>64</xdr:row>
      <xdr:rowOff>106680</xdr:rowOff>
    </xdr:from>
    <xdr:to>
      <xdr:col>2</xdr:col>
      <xdr:colOff>1577340</xdr:colOff>
      <xdr:row>65</xdr:row>
      <xdr:rowOff>68580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EA8ED1C8-FCD1-4E87-B9B9-A16D562CC804}"/>
            </a:ext>
          </a:extLst>
        </xdr:cNvPr>
        <xdr:cNvCxnSpPr/>
      </xdr:nvCxnSpPr>
      <xdr:spPr>
        <a:xfrm>
          <a:off x="3009900" y="12542520"/>
          <a:ext cx="480060" cy="144780"/>
        </a:xfrm>
        <a:prstGeom prst="bentConnector3">
          <a:avLst>
            <a:gd name="adj1" fmla="val 5556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68</xdr:row>
      <xdr:rowOff>76200</xdr:rowOff>
    </xdr:from>
    <xdr:to>
      <xdr:col>4</xdr:col>
      <xdr:colOff>548640</xdr:colOff>
      <xdr:row>69</xdr:row>
      <xdr:rowOff>22860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26C850BB-5756-4663-BE60-EC72A53DE603}"/>
            </a:ext>
          </a:extLst>
        </xdr:cNvPr>
        <xdr:cNvCxnSpPr/>
      </xdr:nvCxnSpPr>
      <xdr:spPr>
        <a:xfrm flipV="1">
          <a:off x="4290060" y="13243560"/>
          <a:ext cx="495300" cy="129540"/>
        </a:xfrm>
        <a:prstGeom prst="bentConnector3">
          <a:avLst>
            <a:gd name="adj1" fmla="val 2308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71</xdr:row>
      <xdr:rowOff>160020</xdr:rowOff>
    </xdr:from>
    <xdr:to>
      <xdr:col>4</xdr:col>
      <xdr:colOff>518160</xdr:colOff>
      <xdr:row>72</xdr:row>
      <xdr:rowOff>121920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4B0ECE90-4E21-47EE-81B3-C9448312A5ED}"/>
            </a:ext>
          </a:extLst>
        </xdr:cNvPr>
        <xdr:cNvCxnSpPr/>
      </xdr:nvCxnSpPr>
      <xdr:spPr>
        <a:xfrm>
          <a:off x="4274820" y="13876020"/>
          <a:ext cx="480060" cy="144780"/>
        </a:xfrm>
        <a:prstGeom prst="bentConnector3">
          <a:avLst>
            <a:gd name="adj1" fmla="val 5556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A7B1-C5BC-443D-8412-4C7737ACB85D}">
  <dimension ref="A2:S142"/>
  <sheetViews>
    <sheetView topLeftCell="A10" zoomScale="85" zoomScaleNormal="85" workbookViewId="0">
      <selection activeCell="R23" sqref="R23"/>
    </sheetView>
  </sheetViews>
  <sheetFormatPr defaultRowHeight="14.4" x14ac:dyDescent="0.3"/>
  <cols>
    <col min="1" max="1" width="8.88671875" style="1"/>
    <col min="2" max="2" width="16.21875" style="1" bestFit="1" customWidth="1"/>
    <col min="3" max="3" width="9.88671875" style="1" bestFit="1" customWidth="1"/>
    <col min="4" max="4" width="10" style="1" bestFit="1" customWidth="1"/>
    <col min="5" max="5" width="22.6640625" style="1" bestFit="1" customWidth="1"/>
    <col min="6" max="7" width="9.5546875" style="1" bestFit="1" customWidth="1"/>
    <col min="8" max="8" width="8.88671875" style="1"/>
    <col min="9" max="9" width="15.109375" style="1" customWidth="1"/>
    <col min="10" max="10" width="16.109375" style="1" customWidth="1"/>
    <col min="11" max="18" width="8.88671875" style="1"/>
    <col min="19" max="19" width="13.88671875" style="1" bestFit="1" customWidth="1"/>
    <col min="20" max="16384" width="8.88671875" style="1"/>
  </cols>
  <sheetData>
    <row r="2" spans="1:15" x14ac:dyDescent="0.3">
      <c r="A2" s="1">
        <v>1</v>
      </c>
      <c r="B2" s="1" t="s">
        <v>7</v>
      </c>
    </row>
    <row r="3" spans="1:15" x14ac:dyDescent="0.3">
      <c r="B3" s="1" t="s">
        <v>2</v>
      </c>
      <c r="C3" s="1" t="s">
        <v>0</v>
      </c>
      <c r="D3" s="1" t="s">
        <v>1</v>
      </c>
      <c r="F3" s="1" t="s">
        <v>5</v>
      </c>
      <c r="G3" s="1" t="s">
        <v>6</v>
      </c>
    </row>
    <row r="4" spans="1:15" x14ac:dyDescent="0.3">
      <c r="B4" s="1" t="s">
        <v>3</v>
      </c>
      <c r="C4" s="1">
        <v>90000</v>
      </c>
      <c r="D4" s="1">
        <v>-40000</v>
      </c>
      <c r="F4" s="2">
        <f>MAX(C4:D4)</f>
        <v>90000</v>
      </c>
      <c r="G4" s="1">
        <f>MIN(C4:D4)</f>
        <v>-40000</v>
      </c>
    </row>
    <row r="5" spans="1:15" x14ac:dyDescent="0.3">
      <c r="B5" s="1" t="s">
        <v>4</v>
      </c>
      <c r="C5" s="1">
        <v>10000</v>
      </c>
      <c r="D5" s="1">
        <v>10000</v>
      </c>
      <c r="F5" s="1">
        <f>MAX(C5:D5)</f>
        <v>10000</v>
      </c>
      <c r="G5" s="2">
        <f>MIN(C5:D5)</f>
        <v>10000</v>
      </c>
    </row>
    <row r="7" spans="1:15" x14ac:dyDescent="0.3">
      <c r="F7" s="2">
        <f>MAX(F4:F5)</f>
        <v>90000</v>
      </c>
      <c r="G7" s="2">
        <f>MAX(G4:G5)</f>
        <v>10000</v>
      </c>
    </row>
    <row r="10" spans="1:15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 x14ac:dyDescent="0.3">
      <c r="A11" s="1">
        <v>3</v>
      </c>
      <c r="B11" s="1" t="s">
        <v>8</v>
      </c>
      <c r="I11" s="9" t="s">
        <v>48</v>
      </c>
    </row>
    <row r="12" spans="1:15" x14ac:dyDescent="0.3">
      <c r="C12" s="1">
        <v>0.6</v>
      </c>
      <c r="D12" s="1">
        <v>0.4</v>
      </c>
      <c r="I12" s="1" t="s">
        <v>47</v>
      </c>
    </row>
    <row r="13" spans="1:15" x14ac:dyDescent="0.3">
      <c r="B13" s="1" t="s">
        <v>2</v>
      </c>
      <c r="C13" s="1" t="s">
        <v>0</v>
      </c>
      <c r="D13" s="1" t="s">
        <v>1</v>
      </c>
      <c r="F13" s="1" t="s">
        <v>5</v>
      </c>
      <c r="G13" s="1" t="s">
        <v>6</v>
      </c>
      <c r="I13" s="1" t="s">
        <v>28</v>
      </c>
    </row>
    <row r="14" spans="1:15" x14ac:dyDescent="0.3">
      <c r="B14" s="1" t="s">
        <v>9</v>
      </c>
      <c r="C14" s="1">
        <v>120000</v>
      </c>
      <c r="D14" s="1">
        <v>60000</v>
      </c>
      <c r="F14" s="2">
        <f>MAX(C14:D14)</f>
        <v>120000</v>
      </c>
      <c r="G14" s="1">
        <f>MIN(C14:D14)</f>
        <v>60000</v>
      </c>
      <c r="I14" s="2">
        <f>SUMPRODUCT($C$12:$D$12,C14:D14)</f>
        <v>96000</v>
      </c>
    </row>
    <row r="15" spans="1:15" x14ac:dyDescent="0.3">
      <c r="B15" s="1" t="s">
        <v>10</v>
      </c>
      <c r="C15" s="1">
        <v>85000</v>
      </c>
      <c r="D15" s="1">
        <v>85000</v>
      </c>
      <c r="F15" s="1">
        <f>MAX(C15:D15)</f>
        <v>85000</v>
      </c>
      <c r="G15" s="2">
        <f>MIN(C15:D15)</f>
        <v>85000</v>
      </c>
      <c r="I15" s="1">
        <f>SUMPRODUCT($C$12:$D$12,C15:D15)</f>
        <v>85000</v>
      </c>
    </row>
    <row r="17" spans="1:19" x14ac:dyDescent="0.3">
      <c r="F17" s="2">
        <f>MAX(F14:F15)</f>
        <v>120000</v>
      </c>
      <c r="G17" s="2">
        <f>MAX(G14:G15)</f>
        <v>85000</v>
      </c>
    </row>
    <row r="20" spans="1:19" ht="15" thickBot="1" x14ac:dyDescent="0.3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9" x14ac:dyDescent="0.3">
      <c r="A21" s="1">
        <v>5</v>
      </c>
      <c r="B21" s="1" t="s">
        <v>11</v>
      </c>
      <c r="I21" s="12" t="s">
        <v>18</v>
      </c>
      <c r="J21" s="13"/>
      <c r="K21" s="13"/>
      <c r="L21" s="13"/>
      <c r="M21" s="13"/>
      <c r="N21" s="14"/>
      <c r="P21" s="12" t="s">
        <v>49</v>
      </c>
      <c r="Q21" s="13"/>
      <c r="R21" s="13"/>
      <c r="S21" s="14"/>
    </row>
    <row r="22" spans="1:19" x14ac:dyDescent="0.3">
      <c r="C22" s="7">
        <v>0.5</v>
      </c>
      <c r="D22" s="7">
        <v>0.5</v>
      </c>
      <c r="I22" s="15" t="s">
        <v>19</v>
      </c>
      <c r="J22" s="16"/>
      <c r="K22" s="16"/>
      <c r="L22" s="16"/>
      <c r="M22" s="16" t="s">
        <v>23</v>
      </c>
      <c r="N22" s="17" t="s">
        <v>22</v>
      </c>
      <c r="P22" s="15"/>
      <c r="Q22" s="16"/>
      <c r="R22" s="16"/>
      <c r="S22" s="17"/>
    </row>
    <row r="23" spans="1:19" x14ac:dyDescent="0.3">
      <c r="B23" s="3" t="s">
        <v>12</v>
      </c>
      <c r="C23" s="3" t="s">
        <v>16</v>
      </c>
      <c r="D23" s="3" t="s">
        <v>17</v>
      </c>
      <c r="F23" s="3" t="s">
        <v>5</v>
      </c>
      <c r="G23" s="3" t="s">
        <v>6</v>
      </c>
      <c r="I23" s="18" t="s">
        <v>12</v>
      </c>
      <c r="J23" s="3" t="s">
        <v>16</v>
      </c>
      <c r="K23" s="3" t="s">
        <v>17</v>
      </c>
      <c r="L23" s="16"/>
      <c r="M23" s="16"/>
      <c r="N23" s="17"/>
      <c r="P23" s="15"/>
      <c r="Q23" s="16">
        <v>0.7</v>
      </c>
      <c r="R23" s="16">
        <v>0.3</v>
      </c>
      <c r="S23" s="17"/>
    </row>
    <row r="24" spans="1:19" x14ac:dyDescent="0.3">
      <c r="B24" s="3" t="s">
        <v>13</v>
      </c>
      <c r="C24" s="4">
        <v>35000</v>
      </c>
      <c r="D24" s="4">
        <v>8000</v>
      </c>
      <c r="F24" s="11">
        <f>MAX(C24:D24)</f>
        <v>35000</v>
      </c>
      <c r="G24" s="10">
        <f>MIN(C24:D24)</f>
        <v>8000</v>
      </c>
      <c r="I24" s="19" t="s">
        <v>13</v>
      </c>
      <c r="J24" s="4">
        <f>$C$29-C24</f>
        <v>0</v>
      </c>
      <c r="K24" s="4">
        <f>$D$29-D24</f>
        <v>12000</v>
      </c>
      <c r="L24" s="16"/>
      <c r="M24" s="20">
        <f>MAX(J24:K24)</f>
        <v>12000</v>
      </c>
      <c r="N24" s="21">
        <f>MIN(M24:M26)</f>
        <v>12000</v>
      </c>
      <c r="P24" s="18" t="s">
        <v>12</v>
      </c>
      <c r="Q24" s="3" t="s">
        <v>16</v>
      </c>
      <c r="R24" s="3" t="s">
        <v>17</v>
      </c>
      <c r="S24" s="17" t="s">
        <v>28</v>
      </c>
    </row>
    <row r="25" spans="1:19" x14ac:dyDescent="0.3">
      <c r="B25" s="3" t="s">
        <v>14</v>
      </c>
      <c r="C25" s="4">
        <v>18000</v>
      </c>
      <c r="D25" s="4">
        <v>12000</v>
      </c>
      <c r="F25" s="10">
        <f>MAX(C25:D25)</f>
        <v>18000</v>
      </c>
      <c r="G25" s="10">
        <f>MIN(C25:D25)</f>
        <v>12000</v>
      </c>
      <c r="I25" s="18" t="s">
        <v>14</v>
      </c>
      <c r="J25" s="4">
        <f t="shared" ref="J25:J26" si="0">$C$29-C25</f>
        <v>17000</v>
      </c>
      <c r="K25" s="4">
        <f t="shared" ref="K25:K26" si="1">$D$29-D25</f>
        <v>8000</v>
      </c>
      <c r="L25" s="16"/>
      <c r="M25" s="20">
        <f t="shared" ref="M25:M26" si="2">MAX(J25:K25)</f>
        <v>17000</v>
      </c>
      <c r="N25" s="17"/>
      <c r="P25" s="18" t="s">
        <v>13</v>
      </c>
      <c r="Q25" s="4">
        <v>35000</v>
      </c>
      <c r="R25" s="4">
        <v>8000</v>
      </c>
      <c r="S25" s="25">
        <f>SUMPRODUCT($Q$23:$R$23,Q25:R25)</f>
        <v>26900</v>
      </c>
    </row>
    <row r="26" spans="1:19" x14ac:dyDescent="0.3">
      <c r="B26" s="3" t="s">
        <v>15</v>
      </c>
      <c r="C26" s="4">
        <v>22000</v>
      </c>
      <c r="D26" s="4">
        <v>20000</v>
      </c>
      <c r="F26" s="10">
        <f>MAX(C26:D26)</f>
        <v>22000</v>
      </c>
      <c r="G26" s="11">
        <f>MIN(C26:D26)</f>
        <v>20000</v>
      </c>
      <c r="I26" s="18" t="s">
        <v>15</v>
      </c>
      <c r="J26" s="4">
        <f t="shared" si="0"/>
        <v>13000</v>
      </c>
      <c r="K26" s="4">
        <f t="shared" si="1"/>
        <v>0</v>
      </c>
      <c r="L26" s="16"/>
      <c r="M26" s="20">
        <f t="shared" si="2"/>
        <v>13000</v>
      </c>
      <c r="N26" s="17"/>
      <c r="P26" s="18" t="s">
        <v>14</v>
      </c>
      <c r="Q26" s="4">
        <v>18000</v>
      </c>
      <c r="R26" s="4">
        <v>12000</v>
      </c>
      <c r="S26" s="17">
        <f>SUMPRODUCT($Q$23:$R$23,Q26:R26)</f>
        <v>16200</v>
      </c>
    </row>
    <row r="27" spans="1:19" x14ac:dyDescent="0.3">
      <c r="I27" s="15"/>
      <c r="J27" s="16"/>
      <c r="K27" s="16"/>
      <c r="L27" s="16"/>
      <c r="M27" s="16"/>
      <c r="N27" s="17"/>
      <c r="P27" s="18" t="s">
        <v>15</v>
      </c>
      <c r="Q27" s="4">
        <v>22000</v>
      </c>
      <c r="R27" s="4">
        <v>20000</v>
      </c>
      <c r="S27" s="17">
        <f t="shared" ref="S27" si="3">SUMPRODUCT($Q$23:$R$23,Q27:R27)</f>
        <v>21400</v>
      </c>
    </row>
    <row r="28" spans="1:19" x14ac:dyDescent="0.3">
      <c r="C28" s="5" t="s">
        <v>21</v>
      </c>
      <c r="D28" s="5" t="s">
        <v>20</v>
      </c>
      <c r="F28" s="5">
        <f>MAX(F24:F26)</f>
        <v>35000</v>
      </c>
      <c r="G28" s="5">
        <f>MAX(G24:G26)</f>
        <v>20000</v>
      </c>
      <c r="I28" s="15" t="s">
        <v>25</v>
      </c>
      <c r="J28" s="16"/>
      <c r="K28" s="16"/>
      <c r="L28" s="16"/>
      <c r="M28" s="16"/>
      <c r="N28" s="17"/>
      <c r="P28" s="15"/>
      <c r="Q28" s="16"/>
      <c r="R28" s="16"/>
      <c r="S28" s="17"/>
    </row>
    <row r="29" spans="1:19" x14ac:dyDescent="0.3">
      <c r="C29" s="1">
        <v>35000</v>
      </c>
      <c r="D29" s="1">
        <v>20000</v>
      </c>
      <c r="I29" s="15" t="s">
        <v>24</v>
      </c>
      <c r="J29" s="16"/>
      <c r="K29" s="16"/>
      <c r="L29" s="16"/>
      <c r="M29" s="16"/>
      <c r="N29" s="17"/>
      <c r="P29" s="15"/>
      <c r="Q29" s="16"/>
      <c r="R29" s="16"/>
      <c r="S29" s="17"/>
    </row>
    <row r="30" spans="1:19" x14ac:dyDescent="0.3">
      <c r="I30" s="15" t="s">
        <v>26</v>
      </c>
      <c r="J30" s="16"/>
      <c r="K30" s="16"/>
      <c r="L30" s="16"/>
      <c r="M30" s="16"/>
      <c r="N30" s="17"/>
      <c r="P30" s="15"/>
      <c r="Q30" s="16"/>
      <c r="R30" s="16"/>
      <c r="S30" s="17"/>
    </row>
    <row r="31" spans="1:19" ht="15" thickBot="1" x14ac:dyDescent="0.35">
      <c r="I31" s="22" t="s">
        <v>27</v>
      </c>
      <c r="J31" s="23"/>
      <c r="K31" s="23"/>
      <c r="L31" s="23"/>
      <c r="M31" s="23"/>
      <c r="N31" s="24"/>
      <c r="P31" s="22"/>
      <c r="Q31" s="23"/>
      <c r="R31" s="23"/>
      <c r="S31" s="24"/>
    </row>
    <row r="35" spans="1:15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spans="1:15" x14ac:dyDescent="0.3">
      <c r="D36" s="1" t="s">
        <v>57</v>
      </c>
    </row>
    <row r="37" spans="1:15" x14ac:dyDescent="0.3">
      <c r="B37" s="1" t="s">
        <v>58</v>
      </c>
      <c r="C37" s="1">
        <v>0.2</v>
      </c>
      <c r="D37" s="1">
        <v>0.2</v>
      </c>
      <c r="E37" s="1">
        <v>0.2</v>
      </c>
      <c r="F37" s="1">
        <v>0.2</v>
      </c>
      <c r="G37" s="1">
        <v>0.2</v>
      </c>
    </row>
    <row r="38" spans="1:15" x14ac:dyDescent="0.3">
      <c r="A38" s="1">
        <v>10</v>
      </c>
      <c r="B38" s="3" t="s">
        <v>50</v>
      </c>
      <c r="C38" s="27">
        <v>0.05</v>
      </c>
      <c r="D38" s="27">
        <v>0.06</v>
      </c>
      <c r="E38" s="27">
        <v>7.0000000000000007E-2</v>
      </c>
      <c r="F38" s="27">
        <v>0.08</v>
      </c>
      <c r="G38" s="27">
        <v>0.09</v>
      </c>
      <c r="I38" s="1" t="s">
        <v>5</v>
      </c>
      <c r="J38" s="1" t="s">
        <v>6</v>
      </c>
      <c r="L38" s="1" t="s">
        <v>59</v>
      </c>
    </row>
    <row r="39" spans="1:15" x14ac:dyDescent="0.3">
      <c r="B39" s="3" t="s">
        <v>51</v>
      </c>
      <c r="C39" s="3">
        <v>2</v>
      </c>
      <c r="D39" s="3">
        <v>3.1</v>
      </c>
      <c r="E39" s="3">
        <v>4</v>
      </c>
      <c r="F39" s="3">
        <v>4.3</v>
      </c>
      <c r="G39" s="3">
        <v>5</v>
      </c>
      <c r="I39" s="3">
        <f>MAX(C39:G39)</f>
        <v>5</v>
      </c>
      <c r="J39" s="3">
        <f>MIN(C39:G39)</f>
        <v>2</v>
      </c>
      <c r="L39" s="3">
        <f>SUMPRODUCT($C$37:$G$37,C39:G39)</f>
        <v>3.68</v>
      </c>
    </row>
    <row r="40" spans="1:15" x14ac:dyDescent="0.3">
      <c r="B40" s="3" t="s">
        <v>52</v>
      </c>
      <c r="C40" s="3">
        <v>-3</v>
      </c>
      <c r="D40" s="3">
        <v>-2</v>
      </c>
      <c r="E40" s="3">
        <v>2.5</v>
      </c>
      <c r="F40" s="3">
        <v>4</v>
      </c>
      <c r="G40" s="3">
        <v>6</v>
      </c>
      <c r="I40" s="3">
        <f t="shared" ref="I40:I44" si="4">MAX(C40:G40)</f>
        <v>6</v>
      </c>
      <c r="J40" s="3">
        <f t="shared" ref="J40:J44" si="5">MIN(C40:G40)</f>
        <v>-3</v>
      </c>
      <c r="L40" s="3">
        <f t="shared" ref="L40:L44" si="6">SUMPRODUCT($C$37:$G$37,C40:G40)</f>
        <v>1.5000000000000002</v>
      </c>
    </row>
    <row r="41" spans="1:15" x14ac:dyDescent="0.3">
      <c r="B41" s="3" t="s">
        <v>53</v>
      </c>
      <c r="C41" s="3">
        <v>6</v>
      </c>
      <c r="D41" s="3">
        <v>5</v>
      </c>
      <c r="E41" s="3">
        <v>3</v>
      </c>
      <c r="F41" s="3">
        <v>3</v>
      </c>
      <c r="G41" s="3">
        <v>2</v>
      </c>
      <c r="I41" s="3">
        <f t="shared" si="4"/>
        <v>6</v>
      </c>
      <c r="J41" s="3">
        <f t="shared" si="5"/>
        <v>2</v>
      </c>
      <c r="L41" s="29">
        <f t="shared" si="6"/>
        <v>3.8000000000000003</v>
      </c>
    </row>
    <row r="42" spans="1:15" x14ac:dyDescent="0.3">
      <c r="B42" s="3" t="s">
        <v>54</v>
      </c>
      <c r="C42" s="3">
        <v>4</v>
      </c>
      <c r="D42" s="3">
        <v>3.6</v>
      </c>
      <c r="E42" s="3">
        <v>3.2</v>
      </c>
      <c r="F42" s="3">
        <v>3</v>
      </c>
      <c r="G42" s="3">
        <v>2.8</v>
      </c>
      <c r="I42" s="3">
        <f t="shared" si="4"/>
        <v>4</v>
      </c>
      <c r="J42" s="3">
        <f t="shared" si="5"/>
        <v>2.8</v>
      </c>
      <c r="L42" s="3">
        <f t="shared" si="6"/>
        <v>3.3200000000000003</v>
      </c>
    </row>
    <row r="43" spans="1:15" x14ac:dyDescent="0.3">
      <c r="B43" s="3" t="s">
        <v>55</v>
      </c>
      <c r="C43" s="3">
        <v>-9</v>
      </c>
      <c r="D43" s="3">
        <v>-4.5</v>
      </c>
      <c r="E43" s="3">
        <v>1.2</v>
      </c>
      <c r="F43" s="3">
        <v>8.3000000000000007</v>
      </c>
      <c r="G43" s="3">
        <v>14.7</v>
      </c>
      <c r="I43" s="29">
        <f t="shared" si="4"/>
        <v>14.7</v>
      </c>
      <c r="J43" s="3">
        <f t="shared" si="5"/>
        <v>-9</v>
      </c>
      <c r="L43" s="3">
        <f t="shared" si="6"/>
        <v>2.14</v>
      </c>
    </row>
    <row r="44" spans="1:15" x14ac:dyDescent="0.3">
      <c r="B44" s="3" t="s">
        <v>56</v>
      </c>
      <c r="C44" s="3">
        <v>3</v>
      </c>
      <c r="D44" s="3">
        <v>3</v>
      </c>
      <c r="E44" s="3">
        <v>3.2</v>
      </c>
      <c r="F44" s="3">
        <v>3.4</v>
      </c>
      <c r="G44" s="3">
        <v>3.5</v>
      </c>
      <c r="I44" s="3">
        <f t="shared" si="4"/>
        <v>3.5</v>
      </c>
      <c r="J44" s="29">
        <f t="shared" si="5"/>
        <v>3</v>
      </c>
      <c r="L44" s="3">
        <f t="shared" si="6"/>
        <v>3.2200000000000006</v>
      </c>
    </row>
    <row r="46" spans="1:15" x14ac:dyDescent="0.3">
      <c r="I46" s="1">
        <f>MAX(I39:I44)</f>
        <v>14.7</v>
      </c>
      <c r="J46" s="1">
        <f>MAX(J39:J44)</f>
        <v>3</v>
      </c>
    </row>
    <row r="50" spans="1:17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2" spans="1:17" x14ac:dyDescent="0.3">
      <c r="A52" s="1">
        <v>17</v>
      </c>
      <c r="B52" s="3" t="s">
        <v>29</v>
      </c>
      <c r="C52" s="3"/>
      <c r="D52" s="3"/>
      <c r="E52" s="3"/>
      <c r="F52" s="3"/>
      <c r="G52" s="3"/>
      <c r="H52" s="3"/>
      <c r="I52" s="3"/>
    </row>
    <row r="53" spans="1:17" x14ac:dyDescent="0.3">
      <c r="B53" s="3" t="s">
        <v>33</v>
      </c>
      <c r="C53" s="3">
        <v>0.13</v>
      </c>
      <c r="D53" s="3">
        <v>0.18</v>
      </c>
      <c r="E53" s="3">
        <v>0.26</v>
      </c>
      <c r="F53" s="3">
        <v>0.23</v>
      </c>
      <c r="G53" s="3">
        <v>0.1</v>
      </c>
      <c r="H53" s="3">
        <v>7.0000000000000007E-2</v>
      </c>
      <c r="I53" s="3">
        <v>0.03</v>
      </c>
      <c r="K53" s="3" t="s">
        <v>28</v>
      </c>
    </row>
    <row r="54" spans="1:17" x14ac:dyDescent="0.3">
      <c r="B54" s="3" t="s">
        <v>32</v>
      </c>
      <c r="C54" s="3">
        <v>1</v>
      </c>
      <c r="D54" s="3">
        <v>2</v>
      </c>
      <c r="E54" s="3">
        <v>3</v>
      </c>
      <c r="F54" s="3">
        <v>4</v>
      </c>
      <c r="G54" s="3">
        <v>5</v>
      </c>
      <c r="H54" s="3">
        <v>6</v>
      </c>
      <c r="I54" s="3">
        <v>7</v>
      </c>
      <c r="K54" s="3"/>
    </row>
    <row r="55" spans="1:17" x14ac:dyDescent="0.3">
      <c r="B55" s="3" t="s">
        <v>30</v>
      </c>
      <c r="C55" s="3">
        <v>30</v>
      </c>
      <c r="D55" s="3">
        <v>30</v>
      </c>
      <c r="E55" s="3">
        <v>30</v>
      </c>
      <c r="F55" s="3">
        <v>30</v>
      </c>
      <c r="G55" s="3">
        <v>30</v>
      </c>
      <c r="H55" s="3">
        <v>30</v>
      </c>
      <c r="I55" s="3">
        <v>30</v>
      </c>
      <c r="K55" s="29">
        <f>SUMPRODUCT(C53:I53,C54:I54,C55:I55)</f>
        <v>99.600000000000009</v>
      </c>
      <c r="L55" s="1" t="s">
        <v>60</v>
      </c>
    </row>
    <row r="56" spans="1:17" x14ac:dyDescent="0.3">
      <c r="B56" s="3" t="s">
        <v>31</v>
      </c>
      <c r="C56" s="3"/>
      <c r="D56" s="3"/>
      <c r="E56" s="3"/>
      <c r="F56" s="3"/>
      <c r="G56" s="3"/>
      <c r="H56" s="3"/>
      <c r="I56" s="3"/>
      <c r="K56" s="3">
        <v>625</v>
      </c>
      <c r="L56" s="1" t="s">
        <v>61</v>
      </c>
    </row>
    <row r="59" spans="1:17" x14ac:dyDescent="0.3">
      <c r="B59" s="28" t="s">
        <v>34</v>
      </c>
      <c r="C59" s="28">
        <v>30</v>
      </c>
    </row>
    <row r="61" spans="1:17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3" spans="1:17" x14ac:dyDescent="0.3">
      <c r="A63" s="1">
        <v>18</v>
      </c>
      <c r="B63" s="1" t="s">
        <v>35</v>
      </c>
      <c r="C63" s="1">
        <v>0.2</v>
      </c>
      <c r="D63" s="1">
        <v>0.7</v>
      </c>
      <c r="E63" s="1">
        <v>0.1</v>
      </c>
      <c r="G63" s="1" t="s">
        <v>43</v>
      </c>
      <c r="L63" s="1" t="s">
        <v>44</v>
      </c>
      <c r="P63" s="1" t="s">
        <v>22</v>
      </c>
    </row>
    <row r="64" spans="1:17" x14ac:dyDescent="0.3">
      <c r="B64" s="3"/>
      <c r="C64" s="3" t="s">
        <v>39</v>
      </c>
      <c r="D64" s="3" t="s">
        <v>40</v>
      </c>
      <c r="E64" s="3" t="s">
        <v>41</v>
      </c>
      <c r="K64" s="3"/>
      <c r="L64" s="3" t="s">
        <v>39</v>
      </c>
      <c r="M64" s="3" t="s">
        <v>40</v>
      </c>
      <c r="N64" s="3" t="s">
        <v>41</v>
      </c>
      <c r="P64" s="1" t="s">
        <v>45</v>
      </c>
      <c r="Q64" s="1" t="s">
        <v>46</v>
      </c>
    </row>
    <row r="65" spans="1:17" x14ac:dyDescent="0.3">
      <c r="B65" s="3" t="s">
        <v>36</v>
      </c>
      <c r="C65" s="3">
        <v>120000</v>
      </c>
      <c r="D65" s="3">
        <v>70000</v>
      </c>
      <c r="E65" s="3">
        <v>-30000</v>
      </c>
      <c r="G65" s="3" t="s">
        <v>36</v>
      </c>
      <c r="H65" s="6">
        <f>SUMPRODUCT($C$63:$E$63,C65:E65)</f>
        <v>70000</v>
      </c>
      <c r="K65" s="3" t="s">
        <v>36</v>
      </c>
      <c r="L65" s="3">
        <f>$L$69-C65</f>
        <v>0</v>
      </c>
      <c r="M65" s="3">
        <f>$M$69-D65</f>
        <v>0</v>
      </c>
      <c r="N65" s="3">
        <f>$N$69-E65</f>
        <v>60000</v>
      </c>
      <c r="P65" s="1">
        <f>MAX(L65:N65)</f>
        <v>60000</v>
      </c>
      <c r="Q65" s="1">
        <f>MIN(P65:P67)</f>
        <v>60000</v>
      </c>
    </row>
    <row r="66" spans="1:17" x14ac:dyDescent="0.3">
      <c r="B66" s="3" t="s">
        <v>37</v>
      </c>
      <c r="C66" s="3">
        <v>60000</v>
      </c>
      <c r="D66" s="3">
        <v>40000</v>
      </c>
      <c r="E66" s="3">
        <v>20000</v>
      </c>
      <c r="G66" s="3" t="s">
        <v>37</v>
      </c>
      <c r="H66" s="3">
        <f>SUMPRODUCT($C$63:$E$63,C66:E66)</f>
        <v>42000</v>
      </c>
      <c r="K66" s="3" t="s">
        <v>37</v>
      </c>
      <c r="L66" s="3">
        <f t="shared" ref="L66:L67" si="7">$L$69-C66</f>
        <v>60000</v>
      </c>
      <c r="M66" s="3">
        <f t="shared" ref="M66:M67" si="8">$M$69-D66</f>
        <v>30000</v>
      </c>
      <c r="N66" s="3">
        <f t="shared" ref="N66:N67" si="9">$N$69-E66</f>
        <v>10000</v>
      </c>
      <c r="P66" s="1">
        <f t="shared" ref="P66:P67" si="10">MAX(L66:N66)</f>
        <v>60000</v>
      </c>
    </row>
    <row r="67" spans="1:17" x14ac:dyDescent="0.3">
      <c r="B67" s="3" t="s">
        <v>38</v>
      </c>
      <c r="C67" s="3">
        <v>35000</v>
      </c>
      <c r="D67" s="3">
        <v>30000</v>
      </c>
      <c r="E67" s="3">
        <v>30000</v>
      </c>
      <c r="G67" s="3" t="s">
        <v>38</v>
      </c>
      <c r="H67" s="3">
        <f>SUMPRODUCT($C$63:$E$63,C67:E67)</f>
        <v>31000</v>
      </c>
      <c r="K67" s="3" t="s">
        <v>38</v>
      </c>
      <c r="L67" s="3">
        <f t="shared" si="7"/>
        <v>85000</v>
      </c>
      <c r="M67" s="3">
        <f t="shared" si="8"/>
        <v>40000</v>
      </c>
      <c r="N67" s="3">
        <f t="shared" si="9"/>
        <v>0</v>
      </c>
      <c r="P67" s="1">
        <f t="shared" si="10"/>
        <v>85000</v>
      </c>
    </row>
    <row r="69" spans="1:17" x14ac:dyDescent="0.3">
      <c r="B69" s="1" t="s">
        <v>23</v>
      </c>
      <c r="C69" s="1">
        <f>MAX(C65:C67)</f>
        <v>120000</v>
      </c>
      <c r="D69" s="1">
        <f t="shared" ref="D69:E69" si="11">MAX(D65:D67)</f>
        <v>70000</v>
      </c>
      <c r="E69" s="1">
        <f t="shared" si="11"/>
        <v>30000</v>
      </c>
      <c r="L69" s="1">
        <v>120000</v>
      </c>
      <c r="M69" s="1">
        <v>70000</v>
      </c>
      <c r="N69" s="1">
        <v>30000</v>
      </c>
    </row>
    <row r="72" spans="1:17" x14ac:dyDescent="0.3">
      <c r="B72" s="8" t="s">
        <v>42</v>
      </c>
    </row>
    <row r="73" spans="1:17" x14ac:dyDescent="0.3">
      <c r="B73" s="1" t="s">
        <v>62</v>
      </c>
    </row>
    <row r="76" spans="1:17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8" spans="1:17" x14ac:dyDescent="0.3">
      <c r="C78" s="28">
        <v>0.66600000000000004</v>
      </c>
      <c r="D78" s="28">
        <v>0.33300000000000002</v>
      </c>
    </row>
    <row r="79" spans="1:17" x14ac:dyDescent="0.3">
      <c r="C79" s="1" t="s">
        <v>70</v>
      </c>
      <c r="D79" s="1" t="s">
        <v>71</v>
      </c>
    </row>
    <row r="80" spans="1:17" x14ac:dyDescent="0.3">
      <c r="A80" s="1">
        <v>20</v>
      </c>
      <c r="C80" s="1" t="s">
        <v>66</v>
      </c>
    </row>
    <row r="81" spans="1:15" x14ac:dyDescent="0.3">
      <c r="B81" s="3" t="s">
        <v>63</v>
      </c>
      <c r="C81" s="3" t="s">
        <v>0</v>
      </c>
      <c r="D81" s="3" t="s">
        <v>1</v>
      </c>
      <c r="F81" s="6" t="s">
        <v>28</v>
      </c>
    </row>
    <row r="82" spans="1:15" x14ac:dyDescent="0.3">
      <c r="B82" s="3" t="s">
        <v>64</v>
      </c>
      <c r="C82" s="3">
        <v>10000</v>
      </c>
      <c r="D82" s="3">
        <v>-4000</v>
      </c>
      <c r="F82" s="3">
        <f>SUMPRODUCT(C78:D78,C82:D82)</f>
        <v>5328</v>
      </c>
    </row>
    <row r="83" spans="1:15" x14ac:dyDescent="0.3">
      <c r="B83" s="3" t="s">
        <v>65</v>
      </c>
      <c r="C83" s="3">
        <v>7000</v>
      </c>
      <c r="D83" s="3">
        <v>2000</v>
      </c>
      <c r="F83" s="3">
        <f>SUMPRODUCT(C78:D78,C83:D83)</f>
        <v>5328</v>
      </c>
    </row>
    <row r="86" spans="1:15" x14ac:dyDescent="0.3">
      <c r="B86" s="1" t="s">
        <v>67</v>
      </c>
    </row>
    <row r="87" spans="1:15" x14ac:dyDescent="0.3">
      <c r="B87" s="1" t="s">
        <v>68</v>
      </c>
    </row>
    <row r="89" spans="1:15" x14ac:dyDescent="0.3">
      <c r="B89" s="1" t="s">
        <v>72</v>
      </c>
      <c r="G89" s="1" t="s">
        <v>73</v>
      </c>
    </row>
    <row r="90" spans="1:15" x14ac:dyDescent="0.3">
      <c r="C90" s="1" t="s">
        <v>69</v>
      </c>
      <c r="G90" s="1" t="s">
        <v>75</v>
      </c>
      <c r="I90" s="28" t="s">
        <v>76</v>
      </c>
    </row>
    <row r="91" spans="1:15" x14ac:dyDescent="0.3">
      <c r="G91" s="1" t="s">
        <v>74</v>
      </c>
    </row>
    <row r="94" spans="1:15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x14ac:dyDescent="0.3">
      <c r="B95" s="1" t="s">
        <v>83</v>
      </c>
    </row>
    <row r="96" spans="1:15" x14ac:dyDescent="0.3">
      <c r="A96" s="1">
        <v>25</v>
      </c>
      <c r="B96" s="3"/>
      <c r="C96" s="3">
        <v>0.6</v>
      </c>
      <c r="D96" s="3">
        <v>0.4</v>
      </c>
      <c r="F96" s="3" t="s">
        <v>28</v>
      </c>
    </row>
    <row r="97" spans="1:15" x14ac:dyDescent="0.3">
      <c r="B97" s="3" t="s">
        <v>77</v>
      </c>
      <c r="C97" s="3" t="s">
        <v>81</v>
      </c>
      <c r="D97" s="3" t="s">
        <v>82</v>
      </c>
      <c r="F97" s="3"/>
    </row>
    <row r="98" spans="1:15" x14ac:dyDescent="0.3">
      <c r="B98" s="3" t="s">
        <v>78</v>
      </c>
      <c r="C98" s="3">
        <v>300000</v>
      </c>
      <c r="D98" s="3">
        <v>150000</v>
      </c>
      <c r="F98" s="29">
        <f>SUMPRODUCT($C$96:$D$96,C98:D98)</f>
        <v>240000</v>
      </c>
    </row>
    <row r="99" spans="1:15" x14ac:dyDescent="0.3">
      <c r="B99" s="3" t="s">
        <v>79</v>
      </c>
      <c r="C99" s="3">
        <v>-100000</v>
      </c>
      <c r="D99" s="3">
        <v>600000</v>
      </c>
      <c r="F99" s="3">
        <f t="shared" ref="F99:F100" si="12">SUMPRODUCT($C$96:$D$96,C99:D99)</f>
        <v>180000</v>
      </c>
    </row>
    <row r="100" spans="1:15" x14ac:dyDescent="0.3">
      <c r="B100" s="3" t="s">
        <v>80</v>
      </c>
      <c r="C100" s="3">
        <v>120000</v>
      </c>
      <c r="D100" s="3">
        <v>170000</v>
      </c>
      <c r="F100" s="3">
        <f t="shared" si="12"/>
        <v>140000</v>
      </c>
    </row>
    <row r="103" spans="1:15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5" spans="1:15" x14ac:dyDescent="0.3">
      <c r="A105" s="1">
        <v>27</v>
      </c>
      <c r="B105" s="1" t="s">
        <v>84</v>
      </c>
    </row>
    <row r="106" spans="1:15" x14ac:dyDescent="0.3">
      <c r="C106" s="1" t="s">
        <v>85</v>
      </c>
      <c r="D106" s="1" t="s">
        <v>86</v>
      </c>
      <c r="E106" s="1">
        <v>2</v>
      </c>
      <c r="F106" s="1">
        <v>-8</v>
      </c>
      <c r="G106" s="1">
        <v>-4</v>
      </c>
    </row>
    <row r="107" spans="1:15" s="30" customFormat="1" ht="28.8" x14ac:dyDescent="0.3">
      <c r="C107" s="31"/>
      <c r="D107" s="31"/>
      <c r="E107" s="31" t="s">
        <v>91</v>
      </c>
      <c r="F107" s="31" t="s">
        <v>92</v>
      </c>
      <c r="G107" s="31" t="s">
        <v>93</v>
      </c>
      <c r="I107" s="1" t="s">
        <v>87</v>
      </c>
      <c r="J107" s="1">
        <v>10</v>
      </c>
    </row>
    <row r="108" spans="1:15" x14ac:dyDescent="0.3">
      <c r="C108" s="3">
        <v>15</v>
      </c>
      <c r="D108" s="3">
        <v>0.2</v>
      </c>
      <c r="E108" s="3"/>
      <c r="F108" s="3"/>
      <c r="G108" s="3"/>
      <c r="I108" s="1" t="s">
        <v>88</v>
      </c>
      <c r="J108" s="1">
        <v>12</v>
      </c>
    </row>
    <row r="109" spans="1:15" x14ac:dyDescent="0.3">
      <c r="C109" s="3">
        <v>16</v>
      </c>
      <c r="D109" s="3">
        <v>0.25</v>
      </c>
      <c r="E109" s="3"/>
      <c r="F109" s="3"/>
      <c r="G109" s="3"/>
      <c r="I109" s="1" t="s">
        <v>90</v>
      </c>
      <c r="J109" s="1">
        <v>2</v>
      </c>
    </row>
    <row r="110" spans="1:15" x14ac:dyDescent="0.3">
      <c r="C110" s="3">
        <v>17</v>
      </c>
      <c r="D110" s="3">
        <v>0.4</v>
      </c>
      <c r="E110" s="3"/>
      <c r="F110" s="3"/>
      <c r="G110" s="3"/>
      <c r="I110" s="1" t="s">
        <v>82</v>
      </c>
      <c r="J110" s="1">
        <v>-8</v>
      </c>
    </row>
    <row r="111" spans="1:15" x14ac:dyDescent="0.3">
      <c r="C111" s="3">
        <v>18</v>
      </c>
      <c r="D111" s="3">
        <v>0.15</v>
      </c>
      <c r="E111" s="3"/>
      <c r="F111" s="3"/>
      <c r="G111" s="3"/>
      <c r="I111" s="1" t="s">
        <v>89</v>
      </c>
      <c r="J111" s="1">
        <v>-4</v>
      </c>
    </row>
    <row r="113" spans="3:19" x14ac:dyDescent="0.3">
      <c r="E113" s="1" t="s">
        <v>98</v>
      </c>
      <c r="J113" s="1" t="s">
        <v>82</v>
      </c>
      <c r="K113" s="1" t="s">
        <v>97</v>
      </c>
      <c r="P113" s="1" t="s">
        <v>89</v>
      </c>
      <c r="Q113" s="1" t="s">
        <v>96</v>
      </c>
    </row>
    <row r="114" spans="3:19" x14ac:dyDescent="0.3">
      <c r="E114" s="2" t="s">
        <v>100</v>
      </c>
      <c r="F114" s="1">
        <v>2</v>
      </c>
      <c r="I114" s="2" t="s">
        <v>101</v>
      </c>
      <c r="K114" s="1">
        <v>-8</v>
      </c>
      <c r="O114" s="2" t="s">
        <v>102</v>
      </c>
      <c r="R114" s="1">
        <v>-4</v>
      </c>
    </row>
    <row r="115" spans="3:19" x14ac:dyDescent="0.3">
      <c r="C115" s="3"/>
      <c r="D115" s="29" t="s">
        <v>95</v>
      </c>
      <c r="E115" s="3"/>
      <c r="F115" s="3"/>
      <c r="G115" s="3"/>
      <c r="I115" s="3"/>
      <c r="J115" s="3" t="s">
        <v>95</v>
      </c>
      <c r="K115" s="3"/>
      <c r="L115" s="3"/>
      <c r="M115" s="3"/>
      <c r="O115" s="3"/>
      <c r="P115" s="3" t="s">
        <v>95</v>
      </c>
      <c r="Q115" s="3"/>
      <c r="R115" s="3"/>
      <c r="S115" s="3"/>
    </row>
    <row r="116" spans="3:19" x14ac:dyDescent="0.3">
      <c r="C116" s="29" t="s">
        <v>94</v>
      </c>
      <c r="D116" s="32">
        <v>15</v>
      </c>
      <c r="E116" s="32">
        <v>16</v>
      </c>
      <c r="F116" s="32">
        <v>17</v>
      </c>
      <c r="G116" s="32">
        <v>18</v>
      </c>
      <c r="I116" s="3" t="s">
        <v>94</v>
      </c>
      <c r="J116" s="32">
        <v>15</v>
      </c>
      <c r="K116" s="32">
        <v>16</v>
      </c>
      <c r="L116" s="32">
        <v>17</v>
      </c>
      <c r="M116" s="32">
        <v>18</v>
      </c>
      <c r="O116" s="3" t="s">
        <v>94</v>
      </c>
      <c r="P116" s="32">
        <v>15</v>
      </c>
      <c r="Q116" s="32">
        <v>16</v>
      </c>
      <c r="R116" s="32">
        <v>17</v>
      </c>
      <c r="S116" s="32">
        <v>18</v>
      </c>
    </row>
    <row r="117" spans="3:19" x14ac:dyDescent="0.3">
      <c r="C117" s="33">
        <v>15</v>
      </c>
      <c r="D117" s="3">
        <f>MIN($C117,D$116)</f>
        <v>15</v>
      </c>
      <c r="E117" s="3">
        <f t="shared" ref="E117:G120" si="13">MIN($C117,E$116)</f>
        <v>15</v>
      </c>
      <c r="F117" s="3">
        <f t="shared" si="13"/>
        <v>15</v>
      </c>
      <c r="G117" s="3">
        <f t="shared" si="13"/>
        <v>15</v>
      </c>
      <c r="I117" s="33">
        <v>15</v>
      </c>
      <c r="J117" s="3">
        <f>MAX($I117-J$116,0)</f>
        <v>0</v>
      </c>
      <c r="K117" s="3">
        <f t="shared" ref="K117:M117" si="14">MAX($I117-K$116,0)</f>
        <v>0</v>
      </c>
      <c r="L117" s="3">
        <f t="shared" si="14"/>
        <v>0</v>
      </c>
      <c r="M117" s="3">
        <f t="shared" si="14"/>
        <v>0</v>
      </c>
      <c r="O117" s="33">
        <v>15</v>
      </c>
      <c r="P117" s="3">
        <f>P$116-$O117</f>
        <v>0</v>
      </c>
      <c r="Q117" s="3">
        <f t="shared" ref="Q117:S117" si="15">Q$116-$O117</f>
        <v>1</v>
      </c>
      <c r="R117" s="3">
        <f t="shared" si="15"/>
        <v>2</v>
      </c>
      <c r="S117" s="3">
        <f t="shared" si="15"/>
        <v>3</v>
      </c>
    </row>
    <row r="118" spans="3:19" x14ac:dyDescent="0.3">
      <c r="C118" s="33">
        <v>16</v>
      </c>
      <c r="D118" s="3">
        <f t="shared" ref="D118:D120" si="16">MIN($C118,D$116)</f>
        <v>15</v>
      </c>
      <c r="E118" s="3">
        <f t="shared" si="13"/>
        <v>16</v>
      </c>
      <c r="F118" s="3">
        <f t="shared" si="13"/>
        <v>16</v>
      </c>
      <c r="G118" s="3">
        <f t="shared" si="13"/>
        <v>16</v>
      </c>
      <c r="I118" s="33">
        <v>16</v>
      </c>
      <c r="J118" s="3">
        <f t="shared" ref="J118:M120" si="17">MAX($I118-J$116,0)</f>
        <v>1</v>
      </c>
      <c r="K118" s="3">
        <f t="shared" si="17"/>
        <v>0</v>
      </c>
      <c r="L118" s="3">
        <f t="shared" si="17"/>
        <v>0</v>
      </c>
      <c r="M118" s="3">
        <f t="shared" si="17"/>
        <v>0</v>
      </c>
      <c r="O118" s="33">
        <v>16</v>
      </c>
      <c r="P118" s="3">
        <f t="shared" ref="P118:S120" si="18">P$116-$O118</f>
        <v>-1</v>
      </c>
      <c r="Q118" s="3">
        <f t="shared" si="18"/>
        <v>0</v>
      </c>
      <c r="R118" s="3">
        <f t="shared" si="18"/>
        <v>1</v>
      </c>
      <c r="S118" s="3">
        <f t="shared" si="18"/>
        <v>2</v>
      </c>
    </row>
    <row r="119" spans="3:19" x14ac:dyDescent="0.3">
      <c r="C119" s="33">
        <v>17</v>
      </c>
      <c r="D119" s="3">
        <f t="shared" si="16"/>
        <v>15</v>
      </c>
      <c r="E119" s="3">
        <f t="shared" si="13"/>
        <v>16</v>
      </c>
      <c r="F119" s="3">
        <f t="shared" si="13"/>
        <v>17</v>
      </c>
      <c r="G119" s="3">
        <f t="shared" si="13"/>
        <v>17</v>
      </c>
      <c r="I119" s="33">
        <v>17</v>
      </c>
      <c r="J119" s="3">
        <f t="shared" si="17"/>
        <v>2</v>
      </c>
      <c r="K119" s="3">
        <f t="shared" si="17"/>
        <v>1</v>
      </c>
      <c r="L119" s="3">
        <f t="shared" si="17"/>
        <v>0</v>
      </c>
      <c r="M119" s="3">
        <f t="shared" si="17"/>
        <v>0</v>
      </c>
      <c r="O119" s="33">
        <v>17</v>
      </c>
      <c r="P119" s="3">
        <f t="shared" si="18"/>
        <v>-2</v>
      </c>
      <c r="Q119" s="3">
        <f t="shared" si="18"/>
        <v>-1</v>
      </c>
      <c r="R119" s="3">
        <f t="shared" si="18"/>
        <v>0</v>
      </c>
      <c r="S119" s="3">
        <f t="shared" si="18"/>
        <v>1</v>
      </c>
    </row>
    <row r="120" spans="3:19" x14ac:dyDescent="0.3">
      <c r="C120" s="33">
        <v>18</v>
      </c>
      <c r="D120" s="3">
        <f t="shared" si="16"/>
        <v>15</v>
      </c>
      <c r="E120" s="3">
        <f t="shared" si="13"/>
        <v>16</v>
      </c>
      <c r="F120" s="3">
        <f t="shared" si="13"/>
        <v>17</v>
      </c>
      <c r="G120" s="3">
        <f t="shared" si="13"/>
        <v>18</v>
      </c>
      <c r="I120" s="33">
        <v>18</v>
      </c>
      <c r="J120" s="3">
        <f t="shared" si="17"/>
        <v>3</v>
      </c>
      <c r="K120" s="3">
        <f t="shared" si="17"/>
        <v>2</v>
      </c>
      <c r="L120" s="3">
        <f t="shared" si="17"/>
        <v>1</v>
      </c>
      <c r="M120" s="3">
        <f t="shared" si="17"/>
        <v>0</v>
      </c>
      <c r="O120" s="33">
        <v>18</v>
      </c>
      <c r="P120" s="3">
        <f t="shared" si="18"/>
        <v>-3</v>
      </c>
      <c r="Q120" s="3">
        <f t="shared" si="18"/>
        <v>-2</v>
      </c>
      <c r="R120" s="3">
        <f t="shared" si="18"/>
        <v>-1</v>
      </c>
      <c r="S120" s="3">
        <f t="shared" si="18"/>
        <v>0</v>
      </c>
    </row>
    <row r="121" spans="3:19" x14ac:dyDescent="0.3">
      <c r="D121" s="3"/>
    </row>
    <row r="123" spans="3:19" x14ac:dyDescent="0.3">
      <c r="C123" s="1" t="s">
        <v>99</v>
      </c>
    </row>
    <row r="124" spans="3:19" x14ac:dyDescent="0.3">
      <c r="C124" s="3"/>
      <c r="D124" s="29" t="s">
        <v>95</v>
      </c>
      <c r="E124" s="3"/>
      <c r="F124" s="3"/>
      <c r="G124" s="3"/>
      <c r="I124" s="3"/>
      <c r="J124" s="3" t="s">
        <v>95</v>
      </c>
      <c r="K124" s="3"/>
      <c r="L124" s="3"/>
      <c r="M124" s="3"/>
      <c r="O124" s="3"/>
      <c r="P124" s="3" t="s">
        <v>95</v>
      </c>
      <c r="Q124" s="3"/>
      <c r="R124" s="3"/>
      <c r="S124" s="3"/>
    </row>
    <row r="125" spans="3:19" x14ac:dyDescent="0.3">
      <c r="C125" s="29" t="s">
        <v>94</v>
      </c>
      <c r="D125" s="32">
        <v>15</v>
      </c>
      <c r="E125" s="32">
        <v>16</v>
      </c>
      <c r="F125" s="32">
        <v>17</v>
      </c>
      <c r="G125" s="32">
        <v>18</v>
      </c>
      <c r="I125" s="3" t="s">
        <v>94</v>
      </c>
      <c r="J125" s="32">
        <v>15</v>
      </c>
      <c r="K125" s="32">
        <v>16</v>
      </c>
      <c r="L125" s="32">
        <v>17</v>
      </c>
      <c r="M125" s="32">
        <v>18</v>
      </c>
      <c r="O125" s="3" t="s">
        <v>94</v>
      </c>
      <c r="P125" s="32">
        <v>15</v>
      </c>
      <c r="Q125" s="32">
        <v>16</v>
      </c>
      <c r="R125" s="32">
        <v>17</v>
      </c>
      <c r="S125" s="32">
        <v>18</v>
      </c>
    </row>
    <row r="126" spans="3:19" x14ac:dyDescent="0.3">
      <c r="C126" s="33">
        <v>15</v>
      </c>
      <c r="D126" s="3">
        <f>D117*$F$114</f>
        <v>30</v>
      </c>
      <c r="E126" s="3">
        <f t="shared" ref="E126:G126" si="19">E117*$F$114</f>
        <v>30</v>
      </c>
      <c r="F126" s="3">
        <f t="shared" si="19"/>
        <v>30</v>
      </c>
      <c r="G126" s="3">
        <f t="shared" si="19"/>
        <v>30</v>
      </c>
      <c r="I126" s="33">
        <v>15</v>
      </c>
      <c r="J126" s="3">
        <f>J117*$K$114</f>
        <v>0</v>
      </c>
      <c r="K126" s="3">
        <f t="shared" ref="K126:M126" si="20">K117*$K$114</f>
        <v>0</v>
      </c>
      <c r="L126" s="3">
        <f t="shared" si="20"/>
        <v>0</v>
      </c>
      <c r="M126" s="3">
        <f t="shared" si="20"/>
        <v>0</v>
      </c>
      <c r="O126" s="33">
        <v>15</v>
      </c>
      <c r="P126" s="3">
        <f>P117*$R$114</f>
        <v>0</v>
      </c>
      <c r="Q126" s="3">
        <f t="shared" ref="Q126:S126" si="21">Q117*$R$114</f>
        <v>-4</v>
      </c>
      <c r="R126" s="3">
        <f t="shared" si="21"/>
        <v>-8</v>
      </c>
      <c r="S126" s="3">
        <f t="shared" si="21"/>
        <v>-12</v>
      </c>
    </row>
    <row r="127" spans="3:19" x14ac:dyDescent="0.3">
      <c r="C127" s="33">
        <v>16</v>
      </c>
      <c r="D127" s="3">
        <f t="shared" ref="D127:G127" si="22">D118*$F$114</f>
        <v>30</v>
      </c>
      <c r="E127" s="3">
        <f t="shared" si="22"/>
        <v>32</v>
      </c>
      <c r="F127" s="3">
        <f t="shared" si="22"/>
        <v>32</v>
      </c>
      <c r="G127" s="3">
        <f t="shared" si="22"/>
        <v>32</v>
      </c>
      <c r="I127" s="33">
        <v>16</v>
      </c>
      <c r="J127" s="3">
        <f t="shared" ref="J127:M127" si="23">J118*$K$114</f>
        <v>-8</v>
      </c>
      <c r="K127" s="3">
        <f t="shared" si="23"/>
        <v>0</v>
      </c>
      <c r="L127" s="3">
        <f t="shared" si="23"/>
        <v>0</v>
      </c>
      <c r="M127" s="3">
        <f t="shared" si="23"/>
        <v>0</v>
      </c>
      <c r="O127" s="33">
        <v>16</v>
      </c>
      <c r="P127" s="3">
        <f t="shared" ref="P127:S127" si="24">P118*$R$114</f>
        <v>4</v>
      </c>
      <c r="Q127" s="3">
        <f t="shared" si="24"/>
        <v>0</v>
      </c>
      <c r="R127" s="3">
        <f t="shared" si="24"/>
        <v>-4</v>
      </c>
      <c r="S127" s="3">
        <f t="shared" si="24"/>
        <v>-8</v>
      </c>
    </row>
    <row r="128" spans="3:19" x14ac:dyDescent="0.3">
      <c r="C128" s="33">
        <v>17</v>
      </c>
      <c r="D128" s="3">
        <f t="shared" ref="D128:G128" si="25">D119*$F$114</f>
        <v>30</v>
      </c>
      <c r="E128" s="3">
        <f t="shared" si="25"/>
        <v>32</v>
      </c>
      <c r="F128" s="3">
        <f t="shared" si="25"/>
        <v>34</v>
      </c>
      <c r="G128" s="3">
        <f t="shared" si="25"/>
        <v>34</v>
      </c>
      <c r="I128" s="33">
        <v>17</v>
      </c>
      <c r="J128" s="3">
        <f t="shared" ref="J128:M128" si="26">J119*$K$114</f>
        <v>-16</v>
      </c>
      <c r="K128" s="3">
        <f t="shared" si="26"/>
        <v>-8</v>
      </c>
      <c r="L128" s="3">
        <f t="shared" si="26"/>
        <v>0</v>
      </c>
      <c r="M128" s="3">
        <f t="shared" si="26"/>
        <v>0</v>
      </c>
      <c r="O128" s="33">
        <v>17</v>
      </c>
      <c r="P128" s="3">
        <f t="shared" ref="P128:S128" si="27">P119*$R$114</f>
        <v>8</v>
      </c>
      <c r="Q128" s="3">
        <f t="shared" si="27"/>
        <v>4</v>
      </c>
      <c r="R128" s="3">
        <f t="shared" si="27"/>
        <v>0</v>
      </c>
      <c r="S128" s="3">
        <f t="shared" si="27"/>
        <v>-4</v>
      </c>
    </row>
    <row r="129" spans="1:19" x14ac:dyDescent="0.3">
      <c r="C129" s="33">
        <v>18</v>
      </c>
      <c r="D129" s="3">
        <f t="shared" ref="D129:G129" si="28">D120*$F$114</f>
        <v>30</v>
      </c>
      <c r="E129" s="3">
        <f t="shared" si="28"/>
        <v>32</v>
      </c>
      <c r="F129" s="3">
        <f t="shared" si="28"/>
        <v>34</v>
      </c>
      <c r="G129" s="3">
        <f t="shared" si="28"/>
        <v>36</v>
      </c>
      <c r="I129" s="33">
        <v>18</v>
      </c>
      <c r="J129" s="3">
        <f t="shared" ref="J129:M129" si="29">J120*$K$114</f>
        <v>-24</v>
      </c>
      <c r="K129" s="3">
        <f t="shared" si="29"/>
        <v>-16</v>
      </c>
      <c r="L129" s="3">
        <f t="shared" si="29"/>
        <v>-8</v>
      </c>
      <c r="M129" s="3">
        <f t="shared" si="29"/>
        <v>0</v>
      </c>
      <c r="O129" s="33">
        <v>18</v>
      </c>
      <c r="P129" s="3">
        <f t="shared" ref="P129:S129" si="30">P120*$R$114</f>
        <v>12</v>
      </c>
      <c r="Q129" s="3">
        <f t="shared" si="30"/>
        <v>8</v>
      </c>
      <c r="R129" s="3">
        <f t="shared" si="30"/>
        <v>4</v>
      </c>
      <c r="S129" s="3">
        <f t="shared" si="30"/>
        <v>0</v>
      </c>
    </row>
    <row r="132" spans="1:19" x14ac:dyDescent="0.3">
      <c r="C132" s="1" t="s">
        <v>103</v>
      </c>
    </row>
    <row r="133" spans="1:19" x14ac:dyDescent="0.3">
      <c r="C133" s="29" t="s">
        <v>95</v>
      </c>
      <c r="D133" s="1">
        <v>0.2</v>
      </c>
      <c r="E133" s="3">
        <v>0.25</v>
      </c>
      <c r="F133" s="3">
        <v>0.4</v>
      </c>
      <c r="G133" s="3">
        <v>0.15</v>
      </c>
      <c r="H133" s="2" t="s">
        <v>104</v>
      </c>
    </row>
    <row r="134" spans="1:19" x14ac:dyDescent="0.3">
      <c r="C134" s="29" t="s">
        <v>94</v>
      </c>
      <c r="D134" s="32">
        <v>15</v>
      </c>
      <c r="E134" s="32">
        <v>16</v>
      </c>
      <c r="F134" s="32">
        <v>17</v>
      </c>
      <c r="G134" s="32">
        <v>18</v>
      </c>
    </row>
    <row r="135" spans="1:19" x14ac:dyDescent="0.3">
      <c r="C135" s="33">
        <v>15</v>
      </c>
      <c r="D135" s="34">
        <f>SUM(D126,J126,P126)/3</f>
        <v>10</v>
      </c>
      <c r="E135" s="34">
        <f t="shared" ref="E135:G138" si="31">SUM(E126,K126,Q126)/3</f>
        <v>8.6666666666666661</v>
      </c>
      <c r="F135" s="34">
        <f t="shared" si="31"/>
        <v>7.333333333333333</v>
      </c>
      <c r="G135" s="34">
        <f t="shared" si="31"/>
        <v>6</v>
      </c>
      <c r="H135" s="3">
        <f>SUMPRODUCT($D$133:$G$133,D135:G135)</f>
        <v>8</v>
      </c>
    </row>
    <row r="136" spans="1:19" x14ac:dyDescent="0.3">
      <c r="C136" s="33">
        <v>16</v>
      </c>
      <c r="D136" s="34">
        <f t="shared" ref="D136:D138" si="32">SUM(D127,J127,P127)/3</f>
        <v>8.6666666666666661</v>
      </c>
      <c r="E136" s="34">
        <f t="shared" si="31"/>
        <v>10.666666666666666</v>
      </c>
      <c r="F136" s="34">
        <f t="shared" si="31"/>
        <v>9.3333333333333339</v>
      </c>
      <c r="G136" s="34">
        <f t="shared" si="31"/>
        <v>8</v>
      </c>
      <c r="H136" s="3">
        <f t="shared" ref="H136:H138" si="33">SUMPRODUCT($D$133:$G$133,D136:G136)</f>
        <v>9.3333333333333339</v>
      </c>
    </row>
    <row r="137" spans="1:19" x14ac:dyDescent="0.3">
      <c r="C137" s="33">
        <v>17</v>
      </c>
      <c r="D137" s="34">
        <f t="shared" si="32"/>
        <v>7.333333333333333</v>
      </c>
      <c r="E137" s="34">
        <f t="shared" si="31"/>
        <v>9.3333333333333339</v>
      </c>
      <c r="F137" s="34">
        <f t="shared" si="31"/>
        <v>11.333333333333334</v>
      </c>
      <c r="G137" s="34">
        <f t="shared" si="31"/>
        <v>10</v>
      </c>
      <c r="H137" s="3">
        <f t="shared" si="33"/>
        <v>9.8333333333333339</v>
      </c>
    </row>
    <row r="138" spans="1:19" x14ac:dyDescent="0.3">
      <c r="C138" s="33">
        <v>18</v>
      </c>
      <c r="D138" s="34">
        <f t="shared" si="32"/>
        <v>6</v>
      </c>
      <c r="E138" s="34">
        <f t="shared" si="31"/>
        <v>8</v>
      </c>
      <c r="F138" s="34">
        <f t="shared" si="31"/>
        <v>10</v>
      </c>
      <c r="G138" s="34">
        <f t="shared" si="31"/>
        <v>12</v>
      </c>
      <c r="H138" s="3">
        <f t="shared" si="33"/>
        <v>9</v>
      </c>
    </row>
    <row r="142" spans="1:19" x14ac:dyDescent="0.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7B74-2852-437D-8257-6AC414819621}">
  <dimension ref="A1:O136"/>
  <sheetViews>
    <sheetView tabSelected="1" workbookViewId="0">
      <selection activeCell="M10" sqref="M10"/>
    </sheetView>
  </sheetViews>
  <sheetFormatPr defaultRowHeight="14.4" x14ac:dyDescent="0.3"/>
  <cols>
    <col min="1" max="1" width="8.88671875" style="1"/>
    <col min="2" max="2" width="19" style="1" bestFit="1" customWidth="1"/>
    <col min="3" max="3" width="23.33203125" style="1" bestFit="1" customWidth="1"/>
    <col min="4" max="4" width="10.5546875" style="1" customWidth="1"/>
    <col min="5" max="5" width="17.88671875" style="1" customWidth="1"/>
    <col min="6" max="6" width="14.33203125" style="1" customWidth="1"/>
    <col min="7" max="7" width="22.109375" style="1" bestFit="1" customWidth="1"/>
    <col min="8" max="8" width="9.88671875" style="1" bestFit="1" customWidth="1"/>
    <col min="9" max="9" width="8.88671875" style="1"/>
    <col min="10" max="10" width="13.33203125" style="1" bestFit="1" customWidth="1"/>
    <col min="11" max="16384" width="8.88671875" style="1"/>
  </cols>
  <sheetData>
    <row r="1" spans="1:15" x14ac:dyDescent="0.3">
      <c r="A1" s="1">
        <v>39</v>
      </c>
      <c r="B1" s="1" t="s">
        <v>105</v>
      </c>
    </row>
    <row r="3" spans="1:15" x14ac:dyDescent="0.3">
      <c r="B3" s="1" t="s">
        <v>106</v>
      </c>
    </row>
    <row r="5" spans="1:15" x14ac:dyDescent="0.3">
      <c r="B5" s="3">
        <v>1</v>
      </c>
      <c r="C5" s="4"/>
      <c r="D5" s="3"/>
      <c r="E5" s="3"/>
      <c r="F5" s="3"/>
      <c r="G5" s="3"/>
      <c r="H5" s="3"/>
      <c r="I5" s="3"/>
      <c r="J5" s="3"/>
      <c r="K5" s="3"/>
    </row>
    <row r="6" spans="1:15" x14ac:dyDescent="0.3">
      <c r="B6" s="3">
        <v>2</v>
      </c>
      <c r="C6" s="4"/>
      <c r="D6" s="3"/>
      <c r="E6" s="3"/>
      <c r="F6" s="3"/>
      <c r="G6" s="37" t="s">
        <v>111</v>
      </c>
      <c r="H6" s="38">
        <f>F8*0.3+0.7*75000</f>
        <v>93300</v>
      </c>
      <c r="I6" s="3"/>
      <c r="J6" s="3" t="s">
        <v>115</v>
      </c>
      <c r="K6" s="39">
        <f>H6-70000</f>
        <v>23300</v>
      </c>
    </row>
    <row r="7" spans="1:15" ht="28.8" x14ac:dyDescent="0.3">
      <c r="B7" s="3">
        <v>3</v>
      </c>
      <c r="C7" s="4"/>
      <c r="D7" s="3"/>
      <c r="E7" s="3"/>
      <c r="F7" s="3"/>
      <c r="G7" s="31" t="s">
        <v>114</v>
      </c>
      <c r="H7" s="10">
        <f>F9*0.15+F10*0.55+0.3*80000</f>
        <v>66100</v>
      </c>
      <c r="I7" s="3"/>
      <c r="J7" s="3" t="s">
        <v>116</v>
      </c>
      <c r="K7" s="10">
        <f>H7-50000</f>
        <v>16100</v>
      </c>
    </row>
    <row r="8" spans="1:15" ht="28.8" x14ac:dyDescent="0.3">
      <c r="B8" s="3">
        <v>4</v>
      </c>
      <c r="C8" s="4"/>
      <c r="D8" s="3"/>
      <c r="E8" s="31" t="s">
        <v>110</v>
      </c>
      <c r="F8" s="10">
        <f>D11-20000</f>
        <v>136000</v>
      </c>
      <c r="G8" s="3"/>
      <c r="H8" s="3"/>
      <c r="I8" s="3"/>
      <c r="J8" s="3"/>
      <c r="K8" s="3"/>
    </row>
    <row r="9" spans="1:15" ht="28.8" x14ac:dyDescent="0.3">
      <c r="B9" s="3">
        <v>5</v>
      </c>
      <c r="C9" s="4"/>
      <c r="D9" s="3"/>
      <c r="E9" s="31" t="s">
        <v>112</v>
      </c>
      <c r="F9" s="10">
        <f>D12-17000</f>
        <v>79000</v>
      </c>
      <c r="G9" s="3"/>
      <c r="H9" s="3"/>
      <c r="I9" s="3"/>
      <c r="J9" s="3"/>
      <c r="K9" s="3"/>
    </row>
    <row r="10" spans="1:15" ht="28.8" x14ac:dyDescent="0.3">
      <c r="B10" s="3">
        <v>6</v>
      </c>
      <c r="C10" s="4"/>
      <c r="D10" s="3"/>
      <c r="E10" s="31" t="s">
        <v>113</v>
      </c>
      <c r="F10" s="10">
        <v>55000</v>
      </c>
      <c r="G10" s="3"/>
      <c r="H10" s="3"/>
      <c r="I10" s="3"/>
      <c r="J10" s="3"/>
      <c r="K10" s="3"/>
    </row>
    <row r="11" spans="1:15" x14ac:dyDescent="0.3">
      <c r="B11" s="3">
        <v>7</v>
      </c>
      <c r="C11" s="4" t="s">
        <v>109</v>
      </c>
      <c r="D11" s="4">
        <f>0.4*300000+0.6*60000</f>
        <v>156000</v>
      </c>
      <c r="E11" s="3"/>
      <c r="F11" s="3"/>
      <c r="G11" s="3"/>
      <c r="H11" s="3"/>
      <c r="I11" s="3"/>
      <c r="J11" s="3"/>
      <c r="K11" s="3"/>
    </row>
    <row r="12" spans="1:15" x14ac:dyDescent="0.3">
      <c r="B12" s="3">
        <v>8</v>
      </c>
      <c r="C12" s="4" t="s">
        <v>107</v>
      </c>
      <c r="D12" s="4">
        <f>0.2*200000+0.8*70000</f>
        <v>96000</v>
      </c>
      <c r="E12" s="3"/>
      <c r="F12" s="3"/>
      <c r="G12" s="3"/>
      <c r="H12" s="3"/>
      <c r="I12" s="3"/>
      <c r="J12" s="3"/>
      <c r="K12" s="3"/>
    </row>
    <row r="13" spans="1:15" x14ac:dyDescent="0.3">
      <c r="B13" s="3">
        <v>9</v>
      </c>
      <c r="C13" s="4" t="s">
        <v>108</v>
      </c>
      <c r="D13" s="4">
        <f>0.35*105000+0.65*40000</f>
        <v>62750</v>
      </c>
      <c r="E13" s="3"/>
      <c r="F13" s="3"/>
      <c r="G13" s="3"/>
      <c r="H13" s="3"/>
      <c r="I13" s="3"/>
      <c r="J13" s="3"/>
      <c r="K13" s="3"/>
    </row>
    <row r="16" spans="1:15" x14ac:dyDescent="0.3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8" spans="1:4" x14ac:dyDescent="0.3">
      <c r="B18" s="1" t="s">
        <v>118</v>
      </c>
    </row>
    <row r="19" spans="1:4" x14ac:dyDescent="0.3">
      <c r="A19" s="1">
        <v>40</v>
      </c>
      <c r="B19" s="1" t="s">
        <v>117</v>
      </c>
    </row>
    <row r="21" spans="1:4" x14ac:dyDescent="0.3">
      <c r="B21" s="1" t="s">
        <v>119</v>
      </c>
      <c r="C21" s="35">
        <v>100000000</v>
      </c>
    </row>
    <row r="22" spans="1:4" x14ac:dyDescent="0.3">
      <c r="B22" s="1" t="s">
        <v>120</v>
      </c>
      <c r="C22" s="35">
        <v>800000</v>
      </c>
    </row>
    <row r="24" spans="1:4" x14ac:dyDescent="0.3">
      <c r="B24" s="1" t="s">
        <v>121</v>
      </c>
    </row>
    <row r="25" spans="1:4" x14ac:dyDescent="0.3">
      <c r="C25" s="1" t="s">
        <v>122</v>
      </c>
    </row>
    <row r="26" spans="1:4" x14ac:dyDescent="0.3">
      <c r="D26" s="1" t="s">
        <v>123</v>
      </c>
    </row>
    <row r="27" spans="1:4" x14ac:dyDescent="0.3">
      <c r="D27" s="1" t="s">
        <v>124</v>
      </c>
    </row>
    <row r="30" spans="1:4" x14ac:dyDescent="0.3">
      <c r="B30" s="41">
        <v>800000</v>
      </c>
    </row>
    <row r="31" spans="1:4" x14ac:dyDescent="0.3">
      <c r="C31" s="1" t="s">
        <v>126</v>
      </c>
    </row>
    <row r="33" spans="1:15" x14ac:dyDescent="0.3">
      <c r="F33" s="35">
        <v>80000000</v>
      </c>
    </row>
    <row r="34" spans="1:15" x14ac:dyDescent="0.3">
      <c r="B34" s="1" t="s">
        <v>125</v>
      </c>
      <c r="D34" s="40">
        <f>0.05*F33+0.95*F37</f>
        <v>4950000</v>
      </c>
      <c r="F34" s="1" t="s">
        <v>130</v>
      </c>
    </row>
    <row r="35" spans="1:15" x14ac:dyDescent="0.3">
      <c r="D35" s="1" t="s">
        <v>128</v>
      </c>
    </row>
    <row r="36" spans="1:15" x14ac:dyDescent="0.3">
      <c r="F36" s="1" t="s">
        <v>131</v>
      </c>
    </row>
    <row r="37" spans="1:15" x14ac:dyDescent="0.3">
      <c r="C37" s="1" t="s">
        <v>127</v>
      </c>
      <c r="F37" s="35">
        <v>1000000</v>
      </c>
    </row>
    <row r="38" spans="1:15" x14ac:dyDescent="0.3">
      <c r="B38" s="36">
        <f>0.1*D34+0</f>
        <v>495000</v>
      </c>
    </row>
    <row r="39" spans="1:15" x14ac:dyDescent="0.3">
      <c r="D39" s="1" t="s">
        <v>129</v>
      </c>
    </row>
    <row r="40" spans="1:15" x14ac:dyDescent="0.3">
      <c r="D40" s="28" t="s">
        <v>132</v>
      </c>
    </row>
    <row r="44" spans="1:15" x14ac:dyDescent="0.3">
      <c r="B44" s="1" t="s">
        <v>133</v>
      </c>
    </row>
    <row r="46" spans="1:15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8" spans="1:15" x14ac:dyDescent="0.3">
      <c r="A48" s="1">
        <v>45</v>
      </c>
      <c r="B48" s="1" t="s">
        <v>134</v>
      </c>
    </row>
    <row r="50" spans="2:4" x14ac:dyDescent="0.3">
      <c r="B50" s="1" t="s">
        <v>135</v>
      </c>
      <c r="C50" s="1" t="s">
        <v>136</v>
      </c>
    </row>
    <row r="51" spans="2:4" x14ac:dyDescent="0.3">
      <c r="C51" s="1" t="s">
        <v>137</v>
      </c>
    </row>
    <row r="53" spans="2:4" x14ac:dyDescent="0.3">
      <c r="C53" s="1" t="s">
        <v>138</v>
      </c>
    </row>
    <row r="54" spans="2:4" x14ac:dyDescent="0.3">
      <c r="C54" s="1" t="s">
        <v>139</v>
      </c>
    </row>
    <row r="56" spans="2:4" x14ac:dyDescent="0.3">
      <c r="B56" s="1" t="s">
        <v>142</v>
      </c>
      <c r="C56" s="1" t="s">
        <v>140</v>
      </c>
    </row>
    <row r="57" spans="2:4" x14ac:dyDescent="0.3">
      <c r="C57" s="1" t="s">
        <v>141</v>
      </c>
    </row>
    <row r="62" spans="2:4" x14ac:dyDescent="0.3">
      <c r="D62" s="1" t="s">
        <v>147</v>
      </c>
    </row>
    <row r="63" spans="2:4" x14ac:dyDescent="0.3">
      <c r="B63" s="42">
        <f>0.1*25-0.9*8</f>
        <v>-4.7</v>
      </c>
      <c r="D63" s="1" t="s">
        <v>152</v>
      </c>
    </row>
    <row r="64" spans="2:4" x14ac:dyDescent="0.3">
      <c r="B64" s="1" t="s">
        <v>144</v>
      </c>
      <c r="C64" s="1" t="s">
        <v>146</v>
      </c>
    </row>
    <row r="65" spans="2:8" x14ac:dyDescent="0.3">
      <c r="D65" s="1" t="s">
        <v>151</v>
      </c>
    </row>
    <row r="66" spans="2:8" x14ac:dyDescent="0.3">
      <c r="B66" s="1" t="s">
        <v>143</v>
      </c>
      <c r="D66" s="1" t="s">
        <v>148</v>
      </c>
      <c r="H66" s="1" t="s">
        <v>147</v>
      </c>
    </row>
    <row r="67" spans="2:8" x14ac:dyDescent="0.3">
      <c r="G67" s="7">
        <v>0.7</v>
      </c>
      <c r="H67" s="1" t="s">
        <v>156</v>
      </c>
    </row>
    <row r="68" spans="2:8" x14ac:dyDescent="0.3">
      <c r="B68" s="1" t="s">
        <v>145</v>
      </c>
      <c r="F68" s="2">
        <f>0.7*25-0.3*8</f>
        <v>15.1</v>
      </c>
      <c r="G68" s="1" t="s">
        <v>153</v>
      </c>
    </row>
    <row r="69" spans="2:8" x14ac:dyDescent="0.3">
      <c r="F69" s="1" t="s">
        <v>147</v>
      </c>
    </row>
    <row r="70" spans="2:8" x14ac:dyDescent="0.3">
      <c r="B70" s="36"/>
      <c r="G70" s="1" t="s">
        <v>154</v>
      </c>
      <c r="H70" s="1" t="s">
        <v>157</v>
      </c>
    </row>
    <row r="71" spans="2:8" x14ac:dyDescent="0.3">
      <c r="C71" s="1" t="s">
        <v>149</v>
      </c>
      <c r="D71" s="1" t="s">
        <v>150</v>
      </c>
      <c r="G71" s="7">
        <v>0.3</v>
      </c>
    </row>
    <row r="72" spans="2:8" x14ac:dyDescent="0.3">
      <c r="B72" s="2">
        <f>(0.5*F68-0.5*F74)-1</f>
        <v>7.25</v>
      </c>
    </row>
    <row r="73" spans="2:8" x14ac:dyDescent="0.3">
      <c r="F73" s="1" t="s">
        <v>148</v>
      </c>
      <c r="G73" s="1" t="s">
        <v>154</v>
      </c>
      <c r="H73" s="1" t="s">
        <v>155</v>
      </c>
    </row>
    <row r="74" spans="2:8" x14ac:dyDescent="0.3">
      <c r="F74" s="2">
        <f>-0.8*8 +0.2*25</f>
        <v>-1.4000000000000004</v>
      </c>
      <c r="G74" s="7">
        <v>0.8</v>
      </c>
    </row>
    <row r="76" spans="2:8" x14ac:dyDescent="0.3">
      <c r="G76" s="1" t="s">
        <v>158</v>
      </c>
      <c r="H76" s="1" t="s">
        <v>156</v>
      </c>
    </row>
    <row r="79" spans="2:8" x14ac:dyDescent="0.3">
      <c r="B79" s="1" t="s">
        <v>159</v>
      </c>
    </row>
    <row r="84" spans="1:15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9" spans="1:15" x14ac:dyDescent="0.3">
      <c r="B89" s="1" t="s">
        <v>163</v>
      </c>
      <c r="C89" s="28" t="s">
        <v>160</v>
      </c>
    </row>
    <row r="91" spans="1:15" x14ac:dyDescent="0.3">
      <c r="B91" s="1" t="s">
        <v>165</v>
      </c>
      <c r="D91" s="2">
        <f>0.5*2000+0.5*500</f>
        <v>1250</v>
      </c>
      <c r="E91" s="1" t="s">
        <v>170</v>
      </c>
    </row>
    <row r="92" spans="1:15" x14ac:dyDescent="0.3">
      <c r="D92" s="1" t="s">
        <v>167</v>
      </c>
    </row>
    <row r="93" spans="1:15" x14ac:dyDescent="0.3">
      <c r="B93" s="1" t="s">
        <v>164</v>
      </c>
      <c r="C93" s="1" t="s">
        <v>161</v>
      </c>
      <c r="E93" s="1" t="s">
        <v>169</v>
      </c>
    </row>
    <row r="94" spans="1:15" x14ac:dyDescent="0.3">
      <c r="C94" s="43">
        <f>0.5*1250-0.5*75</f>
        <v>587.5</v>
      </c>
    </row>
    <row r="95" spans="1:15" x14ac:dyDescent="0.3">
      <c r="D95" s="1" t="s">
        <v>168</v>
      </c>
    </row>
    <row r="96" spans="1:15" x14ac:dyDescent="0.3">
      <c r="D96" s="2" t="s">
        <v>166</v>
      </c>
    </row>
    <row r="100" spans="1:15" x14ac:dyDescent="0.3">
      <c r="B100" s="1" t="s">
        <v>171</v>
      </c>
    </row>
    <row r="104" spans="1:15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6" spans="1:15" x14ac:dyDescent="0.3">
      <c r="A106" s="1">
        <v>58</v>
      </c>
      <c r="B106" s="1" t="s">
        <v>172</v>
      </c>
    </row>
    <row r="109" spans="1:15" x14ac:dyDescent="0.3">
      <c r="C109" s="28" t="s">
        <v>175</v>
      </c>
    </row>
    <row r="110" spans="1:15" x14ac:dyDescent="0.3">
      <c r="C110" s="1" t="s">
        <v>174</v>
      </c>
    </row>
    <row r="112" spans="1:15" x14ac:dyDescent="0.3">
      <c r="A112" s="1" t="s">
        <v>180</v>
      </c>
      <c r="B112" s="1" t="s">
        <v>173</v>
      </c>
    </row>
    <row r="113" spans="2:7" x14ac:dyDescent="0.3">
      <c r="D113" s="1" t="s">
        <v>162</v>
      </c>
      <c r="E113" s="1" t="s">
        <v>178</v>
      </c>
    </row>
    <row r="114" spans="2:7" x14ac:dyDescent="0.3">
      <c r="C114" s="1" t="s">
        <v>176</v>
      </c>
    </row>
    <row r="115" spans="2:7" x14ac:dyDescent="0.3">
      <c r="C115" s="2">
        <f>0.5*300-0.5*150</f>
        <v>75</v>
      </c>
    </row>
    <row r="116" spans="2:7" x14ac:dyDescent="0.3">
      <c r="D116" s="1" t="s">
        <v>177</v>
      </c>
    </row>
    <row r="117" spans="2:7" x14ac:dyDescent="0.3">
      <c r="E117" s="1" t="s">
        <v>179</v>
      </c>
    </row>
    <row r="121" spans="2:7" x14ac:dyDescent="0.3">
      <c r="B121" s="44"/>
      <c r="C121" s="44"/>
      <c r="D121" s="44"/>
      <c r="E121" s="44"/>
      <c r="F121" s="44"/>
      <c r="G121" s="44"/>
    </row>
    <row r="126" spans="2:7" x14ac:dyDescent="0.3">
      <c r="C126" s="2" t="s">
        <v>175</v>
      </c>
    </row>
    <row r="127" spans="2:7" x14ac:dyDescent="0.3">
      <c r="C127" s="1" t="s">
        <v>174</v>
      </c>
    </row>
    <row r="130" spans="1:5" x14ac:dyDescent="0.3">
      <c r="A130" s="1" t="s">
        <v>181</v>
      </c>
      <c r="B130" s="1" t="s">
        <v>173</v>
      </c>
    </row>
    <row r="132" spans="1:5" x14ac:dyDescent="0.3">
      <c r="D132" s="1" t="s">
        <v>182</v>
      </c>
      <c r="E132" s="1" t="s">
        <v>178</v>
      </c>
    </row>
    <row r="133" spans="1:5" x14ac:dyDescent="0.3">
      <c r="C133" s="1" t="s">
        <v>176</v>
      </c>
    </row>
    <row r="134" spans="1:5" x14ac:dyDescent="0.3">
      <c r="C134" s="28">
        <f>0.8*300-0.2*150</f>
        <v>210</v>
      </c>
    </row>
    <row r="135" spans="1:5" x14ac:dyDescent="0.3">
      <c r="D135" s="1" t="s">
        <v>183</v>
      </c>
    </row>
    <row r="136" spans="1:5" x14ac:dyDescent="0.3">
      <c r="E136" s="1" t="s">
        <v>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Uncertainity_Risk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2020-09-11T11:03:15Z</dcterms:created>
  <dcterms:modified xsi:type="dcterms:W3CDTF">2020-09-14T17:10:00Z</dcterms:modified>
</cp:coreProperties>
</file>