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rahul prasad\Desktop\My Training\Resource Center Update\"/>
    </mc:Choice>
  </mc:AlternateContent>
  <xr:revisionPtr revIDLastSave="0" documentId="13_ncr:1_{CB9756AD-622F-4E95-B823-D07D29F216E1}" xr6:coauthVersionLast="47" xr6:coauthVersionMax="47" xr10:uidLastSave="{00000000-0000-0000-0000-000000000000}"/>
  <bookViews>
    <workbookView showSheetTabs="0" xWindow="-110" yWindow="-110" windowWidth="19420" windowHeight="11500" xr2:uid="{C2DB9352-1127-427E-9A74-4A709F462F01}"/>
  </bookViews>
  <sheets>
    <sheet name="Main Menu" sheetId="24" r:id="rId1"/>
    <sheet name="1 (1)" sheetId="29" r:id="rId2"/>
    <sheet name="1 (2)" sheetId="28" r:id="rId3"/>
    <sheet name="2" sheetId="6" r:id="rId4"/>
    <sheet name="3" sheetId="8" r:id="rId5"/>
    <sheet name="4" sheetId="9" r:id="rId6"/>
    <sheet name="5" sheetId="12" r:id="rId7"/>
    <sheet name="6" sheetId="19" r:id="rId8"/>
    <sheet name="7" sheetId="7" r:id="rId9"/>
    <sheet name="8" sheetId="10" r:id="rId10"/>
    <sheet name="9(Old)" sheetId="22" r:id="rId11"/>
    <sheet name="9" sheetId="30" r:id="rId12"/>
    <sheet name="10" sheetId="13" r:id="rId13"/>
    <sheet name="11" sheetId="20" r:id="rId14"/>
    <sheet name="12" sheetId="11" r:id="rId15"/>
    <sheet name="DISCLAIMER" sheetId="16" state="hidden" r:id="rId16"/>
  </sheets>
  <externalReferences>
    <externalReference r:id="rId17"/>
  </externalReferences>
  <definedNames>
    <definedName name="Child_Goal">'9'!$T$104:$T$109</definedName>
    <definedName name="HOME">#REF!</definedName>
    <definedName name="HOME2">#REF!</definedName>
    <definedName name="MF_TYPES" localSheetId="1">'[1]6'!$Q$5:$Q$7</definedName>
    <definedName name="MF_TYPES" localSheetId="2">'[1]6'!$Q$5:$Q$7</definedName>
    <definedName name="MF_TYPES">'3'!$S$5:$S$7</definedName>
    <definedName name="_xlnm.Print_Area" localSheetId="1">'1 (1)'!$B$1:$O$60</definedName>
    <definedName name="_xlnm.Print_Area" localSheetId="2">'1 (2)'!$B$1:$O$33</definedName>
    <definedName name="_xlnm.Print_Area" localSheetId="12">'10'!$B$1:$P$27</definedName>
    <definedName name="_xlnm.Print_Area" localSheetId="13">'11'!$B$1:$O$26</definedName>
    <definedName name="_xlnm.Print_Area" localSheetId="14">'12'!$B$1:$O$29</definedName>
    <definedName name="_xlnm.Print_Area" localSheetId="3">'2'!$B$1:$O$66</definedName>
    <definedName name="_xlnm.Print_Area" localSheetId="4">'3'!$B$1:$O$111</definedName>
    <definedName name="_xlnm.Print_Area" localSheetId="5">'4'!$B$1:$O$28</definedName>
    <definedName name="_xlnm.Print_Area" localSheetId="6">'5'!$B$1:$O$119</definedName>
    <definedName name="_xlnm.Print_Area" localSheetId="7">'6'!$B$1:$O$26</definedName>
    <definedName name="_xlnm.Print_Area" localSheetId="8">'7'!$B$1:$O$69</definedName>
    <definedName name="_xlnm.Print_Area" localSheetId="9">'8'!$B$1:$O$386</definedName>
    <definedName name="_xlnm.Print_Area" localSheetId="11">'9'!$B$9:$Q$184</definedName>
    <definedName name="_xlnm.Print_Area" localSheetId="10">'9(Old)'!$B$1:$O$30</definedName>
    <definedName name="TaxSlab" localSheetId="1">'[1]6'!$P$5:$P$11</definedName>
    <definedName name="TaxSlab" localSheetId="2">'[1]6'!$P$5:$P$11</definedName>
    <definedName name="TaxSlab">'3'!$R$1:$R$7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5" i="30" l="1"/>
  <c r="E18" i="8"/>
  <c r="F50" i="8"/>
  <c r="F51" i="8"/>
  <c r="F52" i="8"/>
  <c r="F53" i="8"/>
  <c r="F54" i="8"/>
  <c r="F55" i="8"/>
  <c r="F56" i="8"/>
  <c r="F57" i="8"/>
  <c r="F58" i="8"/>
  <c r="F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F49" i="8"/>
  <c r="W162" i="30"/>
  <c r="W163" i="30"/>
  <c r="W164" i="30"/>
  <c r="W165" i="30"/>
  <c r="W166" i="30"/>
  <c r="W167" i="30"/>
  <c r="W168" i="30"/>
  <c r="W169" i="30"/>
  <c r="W170" i="30"/>
  <c r="W171" i="30"/>
  <c r="W172" i="30"/>
  <c r="W173" i="30"/>
  <c r="W174" i="30"/>
  <c r="W175" i="30"/>
  <c r="W176" i="30"/>
  <c r="W161" i="30"/>
  <c r="W133" i="30"/>
  <c r="W134" i="30"/>
  <c r="W135" i="30"/>
  <c r="W136" i="30"/>
  <c r="W137" i="30"/>
  <c r="W138" i="30"/>
  <c r="W139" i="30"/>
  <c r="W140" i="30"/>
  <c r="W141" i="30"/>
  <c r="W142" i="30"/>
  <c r="W143" i="30"/>
  <c r="W144" i="30"/>
  <c r="W145" i="30"/>
  <c r="W146" i="30"/>
  <c r="W147" i="30"/>
  <c r="W132" i="30"/>
  <c r="W104" i="30"/>
  <c r="W105" i="30"/>
  <c r="W106" i="30"/>
  <c r="W107" i="30"/>
  <c r="W108" i="30"/>
  <c r="W109" i="30"/>
  <c r="W110" i="30"/>
  <c r="W111" i="30"/>
  <c r="W112" i="30"/>
  <c r="W113" i="30"/>
  <c r="W114" i="30"/>
  <c r="W115" i="30"/>
  <c r="W116" i="30"/>
  <c r="W117" i="30"/>
  <c r="W118" i="30"/>
  <c r="W103" i="30"/>
  <c r="J37" i="30"/>
  <c r="J36" i="30"/>
  <c r="J35" i="30"/>
  <c r="J34" i="30"/>
  <c r="J33" i="30"/>
  <c r="B37" i="30"/>
  <c r="B36" i="30"/>
  <c r="B35" i="30"/>
  <c r="B34" i="30"/>
  <c r="F162" i="30"/>
  <c r="F163" i="30" s="1"/>
  <c r="F133" i="30"/>
  <c r="F134" i="30" s="1"/>
  <c r="B98" i="30"/>
  <c r="B127" i="30"/>
  <c r="S159" i="30"/>
  <c r="S161" i="30" s="1"/>
  <c r="L161" i="30" s="1"/>
  <c r="S130" i="30"/>
  <c r="S132" i="30" s="1"/>
  <c r="B156" i="30"/>
  <c r="S101" i="30"/>
  <c r="S103" i="30" s="1"/>
  <c r="U55" i="30"/>
  <c r="V54" i="30"/>
  <c r="V52" i="30"/>
  <c r="O46" i="30"/>
  <c r="O45" i="30"/>
  <c r="V17" i="30"/>
  <c r="W16" i="30"/>
  <c r="U15" i="30"/>
  <c r="K40" i="30"/>
  <c r="P161" i="30" l="1"/>
  <c r="V55" i="30"/>
  <c r="U56" i="30"/>
  <c r="U57" i="30" s="1"/>
  <c r="U58" i="30" s="1"/>
  <c r="U59" i="30" s="1"/>
  <c r="U60" i="30" s="1"/>
  <c r="U61" i="30" s="1"/>
  <c r="U62" i="30" s="1"/>
  <c r="U63" i="30" s="1"/>
  <c r="U64" i="30" s="1"/>
  <c r="U65" i="30" s="1"/>
  <c r="U66" i="30" s="1"/>
  <c r="U67" i="30" s="1"/>
  <c r="U68" i="30" s="1"/>
  <c r="U69" i="30" s="1"/>
  <c r="U70" i="30" s="1"/>
  <c r="U71" i="30" s="1"/>
  <c r="U72" i="30" s="1"/>
  <c r="U73" i="30" s="1"/>
  <c r="U74" i="30" s="1"/>
  <c r="U75" i="30" s="1"/>
  <c r="U76" i="30" s="1"/>
  <c r="U77" i="30" s="1"/>
  <c r="U78" i="30" s="1"/>
  <c r="U79" i="30" s="1"/>
  <c r="U80" i="30" s="1"/>
  <c r="U81" i="30" s="1"/>
  <c r="U82" i="30" s="1"/>
  <c r="U83" i="30" s="1"/>
  <c r="U84" i="30" s="1"/>
  <c r="U85" i="30" s="1"/>
  <c r="U86" i="30" s="1"/>
  <c r="U87" i="30" s="1"/>
  <c r="U88" i="30" s="1"/>
  <c r="U89" i="30" s="1"/>
  <c r="U90" i="30" s="1"/>
  <c r="U91" i="30" s="1"/>
  <c r="U92" i="30" s="1"/>
  <c r="U93" i="30" s="1"/>
  <c r="U94" i="30" s="1"/>
  <c r="U95" i="30" s="1"/>
  <c r="U96" i="30" s="1"/>
  <c r="U97" i="30" s="1"/>
  <c r="U98" i="30" s="1"/>
  <c r="U99" i="30" s="1"/>
  <c r="U100" i="30" s="1"/>
  <c r="U101" i="30" s="1"/>
  <c r="U102" i="30" s="1"/>
  <c r="U103" i="30" s="1"/>
  <c r="O47" i="30"/>
  <c r="V18" i="30"/>
  <c r="W19" i="30" s="1"/>
  <c r="E29" i="30" s="1"/>
  <c r="L103" i="30"/>
  <c r="P103" i="30" s="1"/>
  <c r="N161" i="30"/>
  <c r="L132" i="30"/>
  <c r="P132" i="30" s="1"/>
  <c r="O48" i="30"/>
  <c r="F164" i="30"/>
  <c r="S163" i="30"/>
  <c r="S162" i="30"/>
  <c r="S134" i="30"/>
  <c r="F135" i="30"/>
  <c r="S133" i="30"/>
  <c r="L133" i="30" l="1"/>
  <c r="N133" i="30" s="1"/>
  <c r="N103" i="30"/>
  <c r="V56" i="30"/>
  <c r="V57" i="30" s="1"/>
  <c r="V58" i="30" s="1"/>
  <c r="V59" i="30" s="1"/>
  <c r="V60" i="30" s="1"/>
  <c r="V61" i="30" s="1"/>
  <c r="V62" i="30" s="1"/>
  <c r="V63" i="30" s="1"/>
  <c r="V64" i="30" s="1"/>
  <c r="V65" i="30" s="1"/>
  <c r="V66" i="30" s="1"/>
  <c r="V67" i="30" s="1"/>
  <c r="V68" i="30" s="1"/>
  <c r="V69" i="30" s="1"/>
  <c r="V70" i="30" s="1"/>
  <c r="V71" i="30" s="1"/>
  <c r="V72" i="30" s="1"/>
  <c r="V73" i="30" s="1"/>
  <c r="V74" i="30" s="1"/>
  <c r="V75" i="30" s="1"/>
  <c r="V76" i="30" s="1"/>
  <c r="V77" i="30" s="1"/>
  <c r="V78" i="30" s="1"/>
  <c r="V79" i="30" s="1"/>
  <c r="V80" i="30" s="1"/>
  <c r="V81" i="30" s="1"/>
  <c r="V82" i="30" s="1"/>
  <c r="V83" i="30" s="1"/>
  <c r="V84" i="30" s="1"/>
  <c r="V85" i="30" s="1"/>
  <c r="V86" i="30" s="1"/>
  <c r="V87" i="30" s="1"/>
  <c r="V88" i="30" s="1"/>
  <c r="V89" i="30" s="1"/>
  <c r="V90" i="30" s="1"/>
  <c r="V91" i="30" s="1"/>
  <c r="V92" i="30" s="1"/>
  <c r="V93" i="30" s="1"/>
  <c r="V94" i="30" s="1"/>
  <c r="V95" i="30" s="1"/>
  <c r="V96" i="30" s="1"/>
  <c r="V97" i="30" s="1"/>
  <c r="V98" i="30" s="1"/>
  <c r="V99" i="30" s="1"/>
  <c r="V100" i="30" s="1"/>
  <c r="V101" i="30" s="1"/>
  <c r="V102" i="30" s="1"/>
  <c r="V103" i="30" s="1"/>
  <c r="L134" i="30"/>
  <c r="P134" i="30" s="1"/>
  <c r="O49" i="30"/>
  <c r="I68" i="30"/>
  <c r="L162" i="30"/>
  <c r="P162" i="30" s="1"/>
  <c r="L163" i="30"/>
  <c r="N163" i="30" s="1"/>
  <c r="N132" i="30"/>
  <c r="S164" i="30"/>
  <c r="F165" i="30"/>
  <c r="S135" i="30"/>
  <c r="F136" i="30"/>
  <c r="P133" i="30" l="1"/>
  <c r="I69" i="30"/>
  <c r="I70" i="30" s="1"/>
  <c r="I71" i="30" s="1"/>
  <c r="I72" i="30" s="1"/>
  <c r="I73" i="30" s="1"/>
  <c r="I74" i="30" s="1"/>
  <c r="I75" i="30" s="1"/>
  <c r="I76" i="30" s="1"/>
  <c r="I77" i="30" s="1"/>
  <c r="I78" i="30" s="1"/>
  <c r="I79" i="30" s="1"/>
  <c r="I80" i="30" s="1"/>
  <c r="I81" i="30" s="1"/>
  <c r="I82" i="30" s="1"/>
  <c r="I83" i="30" s="1"/>
  <c r="I84" i="30" s="1"/>
  <c r="I85" i="30" s="1"/>
  <c r="I86" i="30" s="1"/>
  <c r="I87" i="30" s="1"/>
  <c r="I88" i="30" s="1"/>
  <c r="I89" i="30" s="1"/>
  <c r="I90" i="30" s="1"/>
  <c r="I91" i="30" s="1"/>
  <c r="I92" i="30" s="1"/>
  <c r="I93" i="30" s="1"/>
  <c r="I94" i="30" s="1"/>
  <c r="I95" i="30" s="1"/>
  <c r="I96" i="30" s="1"/>
  <c r="I97" i="30" s="1"/>
  <c r="P163" i="30"/>
  <c r="N134" i="30"/>
  <c r="N162" i="30"/>
  <c r="L164" i="30"/>
  <c r="P164" i="30" s="1"/>
  <c r="F68" i="30"/>
  <c r="F69" i="30" s="1"/>
  <c r="F70" i="30" s="1"/>
  <c r="F71" i="30" s="1"/>
  <c r="F72" i="30" s="1"/>
  <c r="F73" i="30" s="1"/>
  <c r="F74" i="30" s="1"/>
  <c r="F75" i="30" s="1"/>
  <c r="F76" i="30" s="1"/>
  <c r="F77" i="30" s="1"/>
  <c r="F78" i="30" s="1"/>
  <c r="F79" i="30" s="1"/>
  <c r="F80" i="30" s="1"/>
  <c r="F81" i="30" s="1"/>
  <c r="F82" i="30" s="1"/>
  <c r="F83" i="30" s="1"/>
  <c r="F84" i="30" s="1"/>
  <c r="F85" i="30" s="1"/>
  <c r="F86" i="30" s="1"/>
  <c r="F87" i="30" s="1"/>
  <c r="F88" i="30" s="1"/>
  <c r="F89" i="30" s="1"/>
  <c r="F90" i="30" s="1"/>
  <c r="F91" i="30" s="1"/>
  <c r="F92" i="30" s="1"/>
  <c r="F93" i="30" s="1"/>
  <c r="F94" i="30" s="1"/>
  <c r="F95" i="30" s="1"/>
  <c r="F96" i="30" s="1"/>
  <c r="F97" i="30" s="1"/>
  <c r="O52" i="30"/>
  <c r="L135" i="30"/>
  <c r="P135" i="30" s="1"/>
  <c r="S165" i="30"/>
  <c r="F166" i="30"/>
  <c r="F137" i="30"/>
  <c r="S136" i="30"/>
  <c r="P35" i="30" l="1"/>
  <c r="N35" i="30"/>
  <c r="N135" i="30"/>
  <c r="F37" i="30"/>
  <c r="N164" i="30"/>
  <c r="L136" i="30"/>
  <c r="N136" i="30" s="1"/>
  <c r="C68" i="30"/>
  <c r="L68" i="30" s="1"/>
  <c r="C69" i="30" s="1"/>
  <c r="L69" i="30" s="1"/>
  <c r="C70" i="30" s="1"/>
  <c r="L70" i="30" s="1"/>
  <c r="C71" i="30" s="1"/>
  <c r="L71" i="30" s="1"/>
  <c r="C72" i="30" s="1"/>
  <c r="L72" i="30" s="1"/>
  <c r="C73" i="30" s="1"/>
  <c r="O54" i="30"/>
  <c r="O68" i="30" s="1"/>
  <c r="O69" i="30" s="1"/>
  <c r="O70" i="30" s="1"/>
  <c r="O71" i="30" s="1"/>
  <c r="O72" i="30" s="1"/>
  <c r="O73" i="30" s="1"/>
  <c r="O74" i="30" s="1"/>
  <c r="O75" i="30" s="1"/>
  <c r="O76" i="30" s="1"/>
  <c r="O77" i="30" s="1"/>
  <c r="O78" i="30" s="1"/>
  <c r="O79" i="30" s="1"/>
  <c r="O80" i="30" s="1"/>
  <c r="O81" i="30" s="1"/>
  <c r="O82" i="30" s="1"/>
  <c r="O83" i="30" s="1"/>
  <c r="O84" i="30" s="1"/>
  <c r="O85" i="30" s="1"/>
  <c r="O86" i="30" s="1"/>
  <c r="O87" i="30" s="1"/>
  <c r="O88" i="30" s="1"/>
  <c r="O89" i="30" s="1"/>
  <c r="O90" i="30" s="1"/>
  <c r="O91" i="30" s="1"/>
  <c r="O92" i="30" s="1"/>
  <c r="O93" i="30" s="1"/>
  <c r="O94" i="30" s="1"/>
  <c r="O95" i="30" s="1"/>
  <c r="O96" i="30" s="1"/>
  <c r="O97" i="30" s="1"/>
  <c r="L165" i="30"/>
  <c r="N165" i="30" s="1"/>
  <c r="H37" i="30"/>
  <c r="S166" i="30"/>
  <c r="F167" i="30"/>
  <c r="F138" i="30"/>
  <c r="S137" i="30"/>
  <c r="P136" i="30" l="1"/>
  <c r="P165" i="30"/>
  <c r="L137" i="30"/>
  <c r="N137" i="30" s="1"/>
  <c r="L166" i="30"/>
  <c r="P166" i="30" s="1"/>
  <c r="O57" i="30"/>
  <c r="S167" i="30"/>
  <c r="F168" i="30"/>
  <c r="S138" i="30"/>
  <c r="F139" i="30"/>
  <c r="L73" i="30"/>
  <c r="C74" i="30" s="1"/>
  <c r="P137" i="30" l="1"/>
  <c r="L138" i="30"/>
  <c r="N138" i="30" s="1"/>
  <c r="N166" i="30"/>
  <c r="L167" i="30"/>
  <c r="P167" i="30" s="1"/>
  <c r="F33" i="30"/>
  <c r="O59" i="30"/>
  <c r="O61" i="30"/>
  <c r="H33" i="30" s="1"/>
  <c r="O63" i="30"/>
  <c r="F169" i="30"/>
  <c r="S168" i="30"/>
  <c r="F140" i="30"/>
  <c r="S139" i="30"/>
  <c r="L74" i="30"/>
  <c r="C75" i="30" s="1"/>
  <c r="P138" i="30" l="1"/>
  <c r="N167" i="30"/>
  <c r="L139" i="30"/>
  <c r="P139" i="30" s="1"/>
  <c r="L168" i="30"/>
  <c r="P168" i="30" s="1"/>
  <c r="F170" i="30"/>
  <c r="S169" i="30"/>
  <c r="S140" i="30"/>
  <c r="F141" i="30"/>
  <c r="L75" i="30"/>
  <c r="C76" i="30" s="1"/>
  <c r="N139" i="30" l="1"/>
  <c r="N33" i="30"/>
  <c r="N168" i="30"/>
  <c r="N36" i="30"/>
  <c r="L169" i="30"/>
  <c r="P169" i="30" s="1"/>
  <c r="P36" i="30"/>
  <c r="L140" i="30"/>
  <c r="N140" i="30" s="1"/>
  <c r="P33" i="30"/>
  <c r="S170" i="30"/>
  <c r="F171" i="30"/>
  <c r="S141" i="30"/>
  <c r="F142" i="30"/>
  <c r="L76" i="30"/>
  <c r="C77" i="30" s="1"/>
  <c r="P140" i="30" l="1"/>
  <c r="N169" i="30"/>
  <c r="L141" i="30"/>
  <c r="N141" i="30" s="1"/>
  <c r="L170" i="30"/>
  <c r="N170" i="30" s="1"/>
  <c r="S171" i="30"/>
  <c r="F172" i="30"/>
  <c r="F143" i="30"/>
  <c r="S142" i="30"/>
  <c r="L77" i="30"/>
  <c r="C78" i="30" s="1"/>
  <c r="P141" i="30" l="1"/>
  <c r="P170" i="30"/>
  <c r="L171" i="30"/>
  <c r="N171" i="30" s="1"/>
  <c r="L142" i="30"/>
  <c r="P142" i="30" s="1"/>
  <c r="S172" i="30"/>
  <c r="F173" i="30"/>
  <c r="F144" i="30"/>
  <c r="S143" i="30"/>
  <c r="L78" i="30"/>
  <c r="C79" i="30" s="1"/>
  <c r="P171" i="30" l="1"/>
  <c r="N142" i="30"/>
  <c r="L143" i="30"/>
  <c r="P143" i="30" s="1"/>
  <c r="L172" i="30"/>
  <c r="P172" i="30" s="1"/>
  <c r="S173" i="30"/>
  <c r="F174" i="30"/>
  <c r="F145" i="30"/>
  <c r="S144" i="30"/>
  <c r="L79" i="30"/>
  <c r="C80" i="30" s="1"/>
  <c r="N143" i="30" l="1"/>
  <c r="N34" i="30"/>
  <c r="P37" i="30"/>
  <c r="N37" i="30"/>
  <c r="P34" i="30"/>
  <c r="N172" i="30"/>
  <c r="L144" i="30"/>
  <c r="P144" i="30" s="1"/>
  <c r="L173" i="30"/>
  <c r="N173" i="30" s="1"/>
  <c r="F175" i="30"/>
  <c r="S174" i="30"/>
  <c r="F146" i="30"/>
  <c r="S145" i="30"/>
  <c r="L80" i="30"/>
  <c r="C81" i="30" s="1"/>
  <c r="P173" i="30" l="1"/>
  <c r="N144" i="30"/>
  <c r="L174" i="30"/>
  <c r="N174" i="30" s="1"/>
  <c r="L145" i="30"/>
  <c r="N145" i="30" s="1"/>
  <c r="F176" i="30"/>
  <c r="S176" i="30" s="1"/>
  <c r="S175" i="30"/>
  <c r="S146" i="30"/>
  <c r="F147" i="30"/>
  <c r="S147" i="30" s="1"/>
  <c r="L81" i="30"/>
  <c r="C82" i="30" s="1"/>
  <c r="P174" i="30" l="1"/>
  <c r="P145" i="30"/>
  <c r="L147" i="30"/>
  <c r="N147" i="30" s="1"/>
  <c r="L146" i="30"/>
  <c r="P146" i="30" s="1"/>
  <c r="L175" i="30"/>
  <c r="N175" i="30" s="1"/>
  <c r="L176" i="30"/>
  <c r="N176" i="30" s="1"/>
  <c r="L82" i="30"/>
  <c r="C83" i="30" s="1"/>
  <c r="P175" i="30" l="1"/>
  <c r="P176" i="30"/>
  <c r="P147" i="30"/>
  <c r="N146" i="30"/>
  <c r="N148" i="30" s="1"/>
  <c r="P148" i="30"/>
  <c r="N177" i="30"/>
  <c r="L83" i="30"/>
  <c r="C84" i="30" s="1"/>
  <c r="P177" i="30" l="1"/>
  <c r="L84" i="30"/>
  <c r="C85" i="30" s="1"/>
  <c r="L85" i="30" l="1"/>
  <c r="C86" i="30" s="1"/>
  <c r="L86" i="30" l="1"/>
  <c r="C87" i="30" s="1"/>
  <c r="L87" i="30" l="1"/>
  <c r="C88" i="30" s="1"/>
  <c r="L88" i="30" l="1"/>
  <c r="C89" i="30" s="1"/>
  <c r="L89" i="30" l="1"/>
  <c r="C90" i="30" s="1"/>
  <c r="L90" i="30" l="1"/>
  <c r="C91" i="30" s="1"/>
  <c r="L91" i="30" l="1"/>
  <c r="C92" i="30" s="1"/>
  <c r="L92" i="30" l="1"/>
  <c r="C93" i="30" s="1"/>
  <c r="L93" i="30" l="1"/>
  <c r="C94" i="30" s="1"/>
  <c r="L94" i="30" l="1"/>
  <c r="C95" i="30" s="1"/>
  <c r="L95" i="30" l="1"/>
  <c r="C96" i="30" s="1"/>
  <c r="L96" i="30" l="1"/>
  <c r="C97" i="30" s="1"/>
  <c r="L97" i="30" s="1"/>
  <c r="F104" i="30" l="1"/>
  <c r="B68" i="30"/>
  <c r="B69" i="30" s="1"/>
  <c r="B70" i="30" s="1"/>
  <c r="B71" i="30" s="1"/>
  <c r="B72" i="30" s="1"/>
  <c r="B73" i="30" s="1"/>
  <c r="B74" i="30" s="1"/>
  <c r="B75" i="30" s="1"/>
  <c r="B76" i="30" s="1"/>
  <c r="B77" i="30" s="1"/>
  <c r="B78" i="30" s="1"/>
  <c r="B79" i="30" s="1"/>
  <c r="B80" i="30" s="1"/>
  <c r="B81" i="30" s="1"/>
  <c r="B82" i="30" s="1"/>
  <c r="B83" i="30" s="1"/>
  <c r="B84" i="30" s="1"/>
  <c r="B85" i="30" s="1"/>
  <c r="B86" i="30" s="1"/>
  <c r="B87" i="30" s="1"/>
  <c r="B88" i="30" s="1"/>
  <c r="B89" i="30" s="1"/>
  <c r="B90" i="30" s="1"/>
  <c r="B91" i="30" s="1"/>
  <c r="B92" i="30" s="1"/>
  <c r="B93" i="30" s="1"/>
  <c r="B94" i="30" s="1"/>
  <c r="B95" i="30" s="1"/>
  <c r="B96" i="30" s="1"/>
  <c r="B97" i="30" s="1"/>
  <c r="J63" i="30"/>
  <c r="J61" i="30"/>
  <c r="J59" i="30"/>
  <c r="J57" i="30"/>
  <c r="J54" i="30"/>
  <c r="J52" i="30"/>
  <c r="F105" i="30" l="1"/>
  <c r="S104" i="30"/>
  <c r="L16" i="30"/>
  <c r="K43" i="8"/>
  <c r="D6" i="30"/>
  <c r="B9" i="30" s="1"/>
  <c r="O29" i="30"/>
  <c r="O25" i="30"/>
  <c r="L104" i="30" l="1"/>
  <c r="P104" i="30" s="1"/>
  <c r="F106" i="30"/>
  <c r="S105" i="30"/>
  <c r="N9" i="10"/>
  <c r="J15" i="10"/>
  <c r="J13" i="10"/>
  <c r="J6" i="10"/>
  <c r="G11" i="10"/>
  <c r="K12" i="8"/>
  <c r="B43" i="8"/>
  <c r="B19" i="8"/>
  <c r="K15" i="20"/>
  <c r="K7" i="12"/>
  <c r="H21" i="12"/>
  <c r="F22" i="29"/>
  <c r="H18" i="22"/>
  <c r="F18" i="22"/>
  <c r="B18" i="22"/>
  <c r="G15" i="22"/>
  <c r="G13" i="22"/>
  <c r="G10" i="22"/>
  <c r="G7" i="22"/>
  <c r="B7" i="22"/>
  <c r="N20" i="13"/>
  <c r="G25" i="13"/>
  <c r="B20" i="20"/>
  <c r="J8" i="20"/>
  <c r="B8" i="20"/>
  <c r="G15" i="20"/>
  <c r="N16" i="22"/>
  <c r="S13" i="22"/>
  <c r="I26" i="10"/>
  <c r="B27" i="10"/>
  <c r="G16" i="10"/>
  <c r="S4" i="19"/>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J109" i="8"/>
  <c r="L109" i="8" s="1"/>
  <c r="N109" i="8"/>
  <c r="C110" i="8"/>
  <c r="J110" i="8"/>
  <c r="L110" i="8" s="1"/>
  <c r="N110" i="8"/>
  <c r="C111" i="8"/>
  <c r="J111" i="8"/>
  <c r="L111" i="8" s="1"/>
  <c r="N111" i="8"/>
  <c r="J112" i="8"/>
  <c r="L112" i="8" s="1"/>
  <c r="N112" i="8"/>
  <c r="J113" i="8"/>
  <c r="L113" i="8" s="1"/>
  <c r="N113" i="8"/>
  <c r="J114" i="8"/>
  <c r="L114" i="8" s="1"/>
  <c r="N114" i="8"/>
  <c r="J115" i="8"/>
  <c r="L115" i="8" s="1"/>
  <c r="N115" i="8"/>
  <c r="J116" i="8"/>
  <c r="L116" i="8" s="1"/>
  <c r="N116" i="8"/>
  <c r="J117" i="8"/>
  <c r="L117" i="8" s="1"/>
  <c r="N117" i="8"/>
  <c r="J118" i="8"/>
  <c r="L118" i="8" s="1"/>
  <c r="N118" i="8"/>
  <c r="J119" i="8"/>
  <c r="L119" i="8" s="1"/>
  <c r="N119" i="8"/>
  <c r="J120" i="8"/>
  <c r="L120" i="8" s="1"/>
  <c r="N120" i="8"/>
  <c r="J121" i="8"/>
  <c r="L121" i="8" s="1"/>
  <c r="N121" i="8"/>
  <c r="J122" i="8"/>
  <c r="L122" i="8" s="1"/>
  <c r="N122" i="8"/>
  <c r="J123" i="8"/>
  <c r="L123" i="8" s="1"/>
  <c r="N123" i="8"/>
  <c r="J124" i="8"/>
  <c r="L124" i="8" s="1"/>
  <c r="N124" i="8"/>
  <c r="J125" i="8"/>
  <c r="L125" i="8" s="1"/>
  <c r="N125" i="8"/>
  <c r="J126" i="8"/>
  <c r="L126" i="8" s="1"/>
  <c r="N126" i="8"/>
  <c r="J127" i="8"/>
  <c r="L127" i="8" s="1"/>
  <c r="N127" i="8"/>
  <c r="J128" i="8"/>
  <c r="L128" i="8" s="1"/>
  <c r="N128" i="8"/>
  <c r="J129" i="8"/>
  <c r="L129" i="8" s="1"/>
  <c r="N129" i="8"/>
  <c r="J130" i="8"/>
  <c r="L130" i="8" s="1"/>
  <c r="N130" i="8"/>
  <c r="J131" i="8"/>
  <c r="L131" i="8" s="1"/>
  <c r="N131" i="8"/>
  <c r="J132" i="8"/>
  <c r="L132" i="8" s="1"/>
  <c r="N132" i="8"/>
  <c r="J133" i="8"/>
  <c r="L133" i="8" s="1"/>
  <c r="N133" i="8"/>
  <c r="J134" i="8"/>
  <c r="L134" i="8" s="1"/>
  <c r="N134" i="8"/>
  <c r="J135" i="8"/>
  <c r="L135" i="8" s="1"/>
  <c r="N135" i="8"/>
  <c r="J136" i="8"/>
  <c r="L136" i="8" s="1"/>
  <c r="N136" i="8"/>
  <c r="J137" i="8"/>
  <c r="L137" i="8" s="1"/>
  <c r="N137" i="8"/>
  <c r="J138" i="8"/>
  <c r="L138" i="8" s="1"/>
  <c r="N138" i="8"/>
  <c r="J139" i="8"/>
  <c r="L139" i="8" s="1"/>
  <c r="N139" i="8"/>
  <c r="J140" i="8"/>
  <c r="L140" i="8" s="1"/>
  <c r="N140" i="8"/>
  <c r="J141" i="8"/>
  <c r="L141" i="8" s="1"/>
  <c r="N141" i="8"/>
  <c r="J142" i="8"/>
  <c r="L142" i="8" s="1"/>
  <c r="N142" i="8"/>
  <c r="J143" i="8"/>
  <c r="L143" i="8" s="1"/>
  <c r="N143" i="8"/>
  <c r="J144" i="8"/>
  <c r="L144" i="8" s="1"/>
  <c r="N144" i="8"/>
  <c r="J145" i="8"/>
  <c r="L145" i="8" s="1"/>
  <c r="N145" i="8"/>
  <c r="J146" i="8"/>
  <c r="L146" i="8" s="1"/>
  <c r="N146" i="8"/>
  <c r="J147" i="8"/>
  <c r="L147" i="8" s="1"/>
  <c r="N147" i="8"/>
  <c r="J148" i="8"/>
  <c r="L148" i="8" s="1"/>
  <c r="N148" i="8"/>
  <c r="J149" i="8"/>
  <c r="L149" i="8" s="1"/>
  <c r="N149" i="8"/>
  <c r="J150" i="8"/>
  <c r="L150" i="8" s="1"/>
  <c r="N150" i="8"/>
  <c r="J151" i="8"/>
  <c r="L151" i="8" s="1"/>
  <c r="N151" i="8"/>
  <c r="J152" i="8"/>
  <c r="L152" i="8" s="1"/>
  <c r="N152" i="8"/>
  <c r="J153" i="8"/>
  <c r="L153" i="8" s="1"/>
  <c r="N153" i="8"/>
  <c r="J154" i="8"/>
  <c r="L154" i="8" s="1"/>
  <c r="N154" i="8"/>
  <c r="J155" i="8"/>
  <c r="L155" i="8" s="1"/>
  <c r="N155" i="8"/>
  <c r="J156" i="8"/>
  <c r="L156" i="8" s="1"/>
  <c r="N156" i="8"/>
  <c r="J157" i="8"/>
  <c r="L157" i="8" s="1"/>
  <c r="N157" i="8"/>
  <c r="J158" i="8"/>
  <c r="L158" i="8" s="1"/>
  <c r="N158" i="8"/>
  <c r="J159" i="8"/>
  <c r="L159" i="8" s="1"/>
  <c r="N159" i="8"/>
  <c r="J160" i="8"/>
  <c r="L160" i="8" s="1"/>
  <c r="N160" i="8"/>
  <c r="J161" i="8"/>
  <c r="L161" i="8" s="1"/>
  <c r="N161" i="8"/>
  <c r="J162" i="8"/>
  <c r="L162" i="8" s="1"/>
  <c r="N162" i="8"/>
  <c r="J163" i="8"/>
  <c r="L163" i="8" s="1"/>
  <c r="N163" i="8"/>
  <c r="J164" i="8"/>
  <c r="L164" i="8" s="1"/>
  <c r="N164" i="8"/>
  <c r="J165" i="8"/>
  <c r="L165" i="8" s="1"/>
  <c r="N165" i="8"/>
  <c r="J166" i="8"/>
  <c r="L166" i="8" s="1"/>
  <c r="N166" i="8"/>
  <c r="J167" i="8"/>
  <c r="L167" i="8" s="1"/>
  <c r="N167" i="8"/>
  <c r="J168" i="8"/>
  <c r="L168" i="8" s="1"/>
  <c r="N168" i="8"/>
  <c r="J169" i="8"/>
  <c r="L169" i="8" s="1"/>
  <c r="N169" i="8"/>
  <c r="J170" i="8"/>
  <c r="L170" i="8" s="1"/>
  <c r="N170" i="8"/>
  <c r="J171" i="8"/>
  <c r="L171" i="8" s="1"/>
  <c r="N171" i="8"/>
  <c r="J172" i="8"/>
  <c r="L172" i="8" s="1"/>
  <c r="N172" i="8"/>
  <c r="J173" i="8"/>
  <c r="L173" i="8" s="1"/>
  <c r="N173" i="8"/>
  <c r="J174" i="8"/>
  <c r="L174" i="8" s="1"/>
  <c r="N174" i="8"/>
  <c r="J175" i="8"/>
  <c r="L175" i="8" s="1"/>
  <c r="N175" i="8"/>
  <c r="J176" i="8"/>
  <c r="L176" i="8" s="1"/>
  <c r="N176" i="8"/>
  <c r="J177" i="8"/>
  <c r="L177" i="8" s="1"/>
  <c r="N177" i="8"/>
  <c r="J178" i="8"/>
  <c r="L178" i="8" s="1"/>
  <c r="N178" i="8"/>
  <c r="J179" i="8"/>
  <c r="L179" i="8" s="1"/>
  <c r="N179" i="8"/>
  <c r="J180" i="8"/>
  <c r="L180" i="8" s="1"/>
  <c r="N180" i="8"/>
  <c r="J181" i="8"/>
  <c r="L181" i="8" s="1"/>
  <c r="N181" i="8"/>
  <c r="J182" i="8"/>
  <c r="L182" i="8" s="1"/>
  <c r="N182" i="8"/>
  <c r="J183" i="8"/>
  <c r="L183" i="8" s="1"/>
  <c r="N183" i="8"/>
  <c r="J184" i="8"/>
  <c r="L184" i="8" s="1"/>
  <c r="N184" i="8"/>
  <c r="J185" i="8"/>
  <c r="L185" i="8" s="1"/>
  <c r="N185" i="8"/>
  <c r="J186" i="8"/>
  <c r="L186" i="8" s="1"/>
  <c r="N186" i="8"/>
  <c r="J187" i="8"/>
  <c r="L187" i="8" s="1"/>
  <c r="N187" i="8"/>
  <c r="J188" i="8"/>
  <c r="L188" i="8" s="1"/>
  <c r="N188" i="8"/>
  <c r="J189" i="8"/>
  <c r="L189" i="8" s="1"/>
  <c r="N189" i="8"/>
  <c r="J190" i="8"/>
  <c r="L190" i="8" s="1"/>
  <c r="N190" i="8"/>
  <c r="J191" i="8"/>
  <c r="L191" i="8" s="1"/>
  <c r="N191" i="8"/>
  <c r="J192" i="8"/>
  <c r="L192" i="8" s="1"/>
  <c r="N192" i="8"/>
  <c r="J193" i="8"/>
  <c r="L193" i="8" s="1"/>
  <c r="N193" i="8"/>
  <c r="J194" i="8"/>
  <c r="L194" i="8" s="1"/>
  <c r="N194" i="8"/>
  <c r="J195" i="8"/>
  <c r="L195" i="8" s="1"/>
  <c r="N195" i="8"/>
  <c r="J196" i="8"/>
  <c r="L196" i="8" s="1"/>
  <c r="N196" i="8"/>
  <c r="J197" i="8"/>
  <c r="L197" i="8" s="1"/>
  <c r="N197" i="8"/>
  <c r="J198" i="8"/>
  <c r="L198" i="8" s="1"/>
  <c r="N198" i="8"/>
  <c r="J199" i="8"/>
  <c r="L199" i="8" s="1"/>
  <c r="N199" i="8"/>
  <c r="J200" i="8"/>
  <c r="L200" i="8" s="1"/>
  <c r="N200" i="8"/>
  <c r="J201" i="8"/>
  <c r="L201" i="8" s="1"/>
  <c r="N201" i="8"/>
  <c r="J202" i="8"/>
  <c r="L202" i="8" s="1"/>
  <c r="N202" i="8"/>
  <c r="J203" i="8"/>
  <c r="L203" i="8" s="1"/>
  <c r="N203" i="8"/>
  <c r="J204" i="8"/>
  <c r="L204" i="8" s="1"/>
  <c r="N204" i="8"/>
  <c r="J205" i="8"/>
  <c r="L205" i="8" s="1"/>
  <c r="N205" i="8"/>
  <c r="J206" i="8"/>
  <c r="L206" i="8" s="1"/>
  <c r="N206" i="8"/>
  <c r="J207" i="8"/>
  <c r="L207" i="8" s="1"/>
  <c r="N207" i="8"/>
  <c r="J208" i="8"/>
  <c r="L208" i="8" s="1"/>
  <c r="N208" i="8"/>
  <c r="J209" i="8"/>
  <c r="L209" i="8" s="1"/>
  <c r="N209" i="8"/>
  <c r="J210" i="8"/>
  <c r="L210" i="8" s="1"/>
  <c r="N210" i="8"/>
  <c r="J211" i="8"/>
  <c r="L211" i="8" s="1"/>
  <c r="N211" i="8"/>
  <c r="J212" i="8"/>
  <c r="L212" i="8" s="1"/>
  <c r="N212" i="8"/>
  <c r="J213" i="8"/>
  <c r="L213" i="8" s="1"/>
  <c r="N213" i="8"/>
  <c r="J214" i="8"/>
  <c r="L214" i="8" s="1"/>
  <c r="N214" i="8"/>
  <c r="J215" i="8"/>
  <c r="L215" i="8" s="1"/>
  <c r="N215" i="8"/>
  <c r="J216" i="8"/>
  <c r="L216" i="8" s="1"/>
  <c r="N216" i="8"/>
  <c r="J217" i="8"/>
  <c r="L217" i="8" s="1"/>
  <c r="N217" i="8"/>
  <c r="J218" i="8"/>
  <c r="L218" i="8" s="1"/>
  <c r="N218" i="8"/>
  <c r="J219" i="8"/>
  <c r="L219" i="8" s="1"/>
  <c r="N219" i="8"/>
  <c r="J220" i="8"/>
  <c r="L220" i="8" s="1"/>
  <c r="N220" i="8"/>
  <c r="J221" i="8"/>
  <c r="L221" i="8" s="1"/>
  <c r="N221" i="8"/>
  <c r="J222" i="8"/>
  <c r="L222" i="8" s="1"/>
  <c r="N222" i="8"/>
  <c r="J223" i="8"/>
  <c r="L223" i="8" s="1"/>
  <c r="N223" i="8"/>
  <c r="J224" i="8"/>
  <c r="L224" i="8" s="1"/>
  <c r="N224" i="8"/>
  <c r="J225" i="8"/>
  <c r="L225" i="8" s="1"/>
  <c r="N225" i="8"/>
  <c r="J226" i="8"/>
  <c r="L226" i="8" s="1"/>
  <c r="N226" i="8"/>
  <c r="J227" i="8"/>
  <c r="L227" i="8" s="1"/>
  <c r="N227" i="8"/>
  <c r="J228" i="8"/>
  <c r="L228" i="8" s="1"/>
  <c r="N228" i="8"/>
  <c r="J229" i="8"/>
  <c r="L229" i="8" s="1"/>
  <c r="N229" i="8"/>
  <c r="J230" i="8"/>
  <c r="L230" i="8" s="1"/>
  <c r="N230" i="8"/>
  <c r="J231" i="8"/>
  <c r="L231" i="8" s="1"/>
  <c r="N231" i="8"/>
  <c r="J232" i="8"/>
  <c r="L232" i="8" s="1"/>
  <c r="N232" i="8"/>
  <c r="J233" i="8"/>
  <c r="L233" i="8" s="1"/>
  <c r="N233" i="8"/>
  <c r="J234" i="8"/>
  <c r="L234" i="8" s="1"/>
  <c r="N234" i="8"/>
  <c r="J235" i="8"/>
  <c r="L235" i="8" s="1"/>
  <c r="N235" i="8"/>
  <c r="J236" i="8"/>
  <c r="L236" i="8" s="1"/>
  <c r="N236" i="8"/>
  <c r="J237" i="8"/>
  <c r="L237" i="8" s="1"/>
  <c r="N237" i="8"/>
  <c r="J238" i="8"/>
  <c r="L238" i="8" s="1"/>
  <c r="N238" i="8"/>
  <c r="J239" i="8"/>
  <c r="L239" i="8" s="1"/>
  <c r="N239" i="8"/>
  <c r="J240" i="8"/>
  <c r="L240" i="8" s="1"/>
  <c r="N240" i="8"/>
  <c r="J241" i="8"/>
  <c r="L241" i="8" s="1"/>
  <c r="N241" i="8"/>
  <c r="J242" i="8"/>
  <c r="L242" i="8" s="1"/>
  <c r="N242" i="8"/>
  <c r="J243" i="8"/>
  <c r="L243" i="8" s="1"/>
  <c r="N243" i="8"/>
  <c r="J244" i="8"/>
  <c r="L244" i="8" s="1"/>
  <c r="N244" i="8"/>
  <c r="J245" i="8"/>
  <c r="L245" i="8" s="1"/>
  <c r="N245" i="8"/>
  <c r="J246" i="8"/>
  <c r="L246" i="8" s="1"/>
  <c r="N246" i="8"/>
  <c r="J247" i="8"/>
  <c r="L247" i="8" s="1"/>
  <c r="N247" i="8"/>
  <c r="J248" i="8"/>
  <c r="L248" i="8" s="1"/>
  <c r="N248" i="8"/>
  <c r="J249" i="8"/>
  <c r="L249" i="8" s="1"/>
  <c r="N249" i="8"/>
  <c r="J250" i="8"/>
  <c r="L250" i="8" s="1"/>
  <c r="N250" i="8"/>
  <c r="J251" i="8"/>
  <c r="L251" i="8" s="1"/>
  <c r="N251" i="8"/>
  <c r="J252" i="8"/>
  <c r="L252" i="8" s="1"/>
  <c r="N252" i="8"/>
  <c r="J253" i="8"/>
  <c r="L253" i="8" s="1"/>
  <c r="N253" i="8"/>
  <c r="J254" i="8"/>
  <c r="L254" i="8" s="1"/>
  <c r="N254" i="8"/>
  <c r="J255" i="8"/>
  <c r="L255" i="8" s="1"/>
  <c r="N255" i="8"/>
  <c r="J256" i="8"/>
  <c r="L256" i="8" s="1"/>
  <c r="N256" i="8"/>
  <c r="J257" i="8"/>
  <c r="L257" i="8" s="1"/>
  <c r="N257" i="8"/>
  <c r="J258" i="8"/>
  <c r="L258" i="8" s="1"/>
  <c r="N258" i="8"/>
  <c r="J259" i="8"/>
  <c r="L259" i="8" s="1"/>
  <c r="N259" i="8"/>
  <c r="J260" i="8"/>
  <c r="L260" i="8" s="1"/>
  <c r="N260" i="8"/>
  <c r="J261" i="8"/>
  <c r="L261" i="8" s="1"/>
  <c r="N261" i="8"/>
  <c r="J262" i="8"/>
  <c r="L262" i="8" s="1"/>
  <c r="N262" i="8"/>
  <c r="J263" i="8"/>
  <c r="L263" i="8" s="1"/>
  <c r="N263" i="8"/>
  <c r="J264" i="8"/>
  <c r="L264" i="8" s="1"/>
  <c r="N264" i="8"/>
  <c r="J265" i="8"/>
  <c r="L265" i="8" s="1"/>
  <c r="N265" i="8"/>
  <c r="J266" i="8"/>
  <c r="L266" i="8" s="1"/>
  <c r="N266" i="8"/>
  <c r="J267" i="8"/>
  <c r="L267" i="8" s="1"/>
  <c r="N267" i="8"/>
  <c r="J268" i="8"/>
  <c r="L268" i="8" s="1"/>
  <c r="N268" i="8"/>
  <c r="J269" i="8"/>
  <c r="L269" i="8" s="1"/>
  <c r="N269" i="8"/>
  <c r="J270" i="8"/>
  <c r="L270" i="8" s="1"/>
  <c r="N270" i="8"/>
  <c r="J271" i="8"/>
  <c r="L271" i="8" s="1"/>
  <c r="N271" i="8"/>
  <c r="J272" i="8"/>
  <c r="L272" i="8" s="1"/>
  <c r="N272" i="8"/>
  <c r="J273" i="8"/>
  <c r="L273" i="8" s="1"/>
  <c r="N273" i="8"/>
  <c r="J274" i="8"/>
  <c r="L274" i="8" s="1"/>
  <c r="N274" i="8"/>
  <c r="J275" i="8"/>
  <c r="L275" i="8" s="1"/>
  <c r="N275" i="8"/>
  <c r="J276" i="8"/>
  <c r="L276" i="8" s="1"/>
  <c r="N276" i="8"/>
  <c r="J277" i="8"/>
  <c r="L277" i="8" s="1"/>
  <c r="N277" i="8"/>
  <c r="J278" i="8"/>
  <c r="L278" i="8" s="1"/>
  <c r="N278" i="8"/>
  <c r="J279" i="8"/>
  <c r="L279" i="8" s="1"/>
  <c r="N279" i="8"/>
  <c r="J280" i="8"/>
  <c r="L280" i="8" s="1"/>
  <c r="N280" i="8"/>
  <c r="J281" i="8"/>
  <c r="L281" i="8" s="1"/>
  <c r="N281" i="8"/>
  <c r="J282" i="8"/>
  <c r="L282" i="8" s="1"/>
  <c r="N282" i="8"/>
  <c r="J283" i="8"/>
  <c r="L283" i="8" s="1"/>
  <c r="N283" i="8"/>
  <c r="J284" i="8"/>
  <c r="L284" i="8" s="1"/>
  <c r="N284" i="8"/>
  <c r="J285" i="8"/>
  <c r="L285" i="8" s="1"/>
  <c r="N285" i="8"/>
  <c r="J286" i="8"/>
  <c r="L286" i="8" s="1"/>
  <c r="N286" i="8"/>
  <c r="J287" i="8"/>
  <c r="L287" i="8" s="1"/>
  <c r="N287" i="8"/>
  <c r="J288" i="8"/>
  <c r="L288" i="8" s="1"/>
  <c r="N288" i="8"/>
  <c r="J289" i="8"/>
  <c r="L289" i="8" s="1"/>
  <c r="N289" i="8"/>
  <c r="J290" i="8"/>
  <c r="L290" i="8" s="1"/>
  <c r="N290" i="8"/>
  <c r="J291" i="8"/>
  <c r="L291" i="8" s="1"/>
  <c r="N291" i="8"/>
  <c r="J292" i="8"/>
  <c r="L292" i="8" s="1"/>
  <c r="N292" i="8"/>
  <c r="J293" i="8"/>
  <c r="L293" i="8" s="1"/>
  <c r="N293" i="8"/>
  <c r="J294" i="8"/>
  <c r="L294" i="8" s="1"/>
  <c r="N294" i="8"/>
  <c r="J295" i="8"/>
  <c r="L295" i="8" s="1"/>
  <c r="N295" i="8"/>
  <c r="J296" i="8"/>
  <c r="L296" i="8" s="1"/>
  <c r="N296" i="8"/>
  <c r="J297" i="8"/>
  <c r="L297" i="8" s="1"/>
  <c r="N297" i="8"/>
  <c r="J298" i="8"/>
  <c r="L298" i="8" s="1"/>
  <c r="N298" i="8"/>
  <c r="J299" i="8"/>
  <c r="L299" i="8" s="1"/>
  <c r="N299" i="8"/>
  <c r="J300" i="8"/>
  <c r="L300" i="8" s="1"/>
  <c r="N300" i="8"/>
  <c r="J301" i="8"/>
  <c r="L301" i="8" s="1"/>
  <c r="N301" i="8"/>
  <c r="J302" i="8"/>
  <c r="L302" i="8" s="1"/>
  <c r="N302" i="8"/>
  <c r="J303" i="8"/>
  <c r="L303" i="8" s="1"/>
  <c r="N303" i="8"/>
  <c r="J304" i="8"/>
  <c r="L304" i="8" s="1"/>
  <c r="N304" i="8"/>
  <c r="J305" i="8"/>
  <c r="L305" i="8" s="1"/>
  <c r="N305" i="8"/>
  <c r="J306" i="8"/>
  <c r="L306" i="8" s="1"/>
  <c r="N306" i="8"/>
  <c r="J307" i="8"/>
  <c r="L307" i="8" s="1"/>
  <c r="N307" i="8"/>
  <c r="J308" i="8"/>
  <c r="L308" i="8" s="1"/>
  <c r="N308" i="8"/>
  <c r="J309" i="8"/>
  <c r="L309" i="8" s="1"/>
  <c r="N309" i="8"/>
  <c r="J310" i="8"/>
  <c r="L310" i="8" s="1"/>
  <c r="N310" i="8"/>
  <c r="J311" i="8"/>
  <c r="L311" i="8" s="1"/>
  <c r="N311" i="8"/>
  <c r="J312" i="8"/>
  <c r="L312" i="8" s="1"/>
  <c r="N312" i="8"/>
  <c r="J313" i="8"/>
  <c r="L313" i="8" s="1"/>
  <c r="N313" i="8"/>
  <c r="J314" i="8"/>
  <c r="L314" i="8" s="1"/>
  <c r="N314" i="8"/>
  <c r="J315" i="8"/>
  <c r="L315" i="8" s="1"/>
  <c r="N315" i="8"/>
  <c r="J316" i="8"/>
  <c r="L316" i="8" s="1"/>
  <c r="N316" i="8"/>
  <c r="J317" i="8"/>
  <c r="L317" i="8" s="1"/>
  <c r="N317" i="8"/>
  <c r="J318" i="8"/>
  <c r="L318" i="8" s="1"/>
  <c r="N318" i="8"/>
  <c r="J319" i="8"/>
  <c r="L319" i="8" s="1"/>
  <c r="N319" i="8"/>
  <c r="J320" i="8"/>
  <c r="L320" i="8" s="1"/>
  <c r="N320" i="8"/>
  <c r="J321" i="8"/>
  <c r="L321" i="8" s="1"/>
  <c r="N321" i="8"/>
  <c r="J322" i="8"/>
  <c r="L322" i="8" s="1"/>
  <c r="N322" i="8"/>
  <c r="J323" i="8"/>
  <c r="L323" i="8" s="1"/>
  <c r="N323" i="8"/>
  <c r="J324" i="8"/>
  <c r="L324" i="8" s="1"/>
  <c r="N324" i="8"/>
  <c r="J325" i="8"/>
  <c r="L325" i="8" s="1"/>
  <c r="N325" i="8"/>
  <c r="J326" i="8"/>
  <c r="L326" i="8" s="1"/>
  <c r="N326" i="8"/>
  <c r="J327" i="8"/>
  <c r="L327" i="8" s="1"/>
  <c r="N327" i="8"/>
  <c r="J328" i="8"/>
  <c r="L328" i="8" s="1"/>
  <c r="N328" i="8"/>
  <c r="J329" i="8"/>
  <c r="L329" i="8" s="1"/>
  <c r="N329" i="8"/>
  <c r="J330" i="8"/>
  <c r="L330" i="8" s="1"/>
  <c r="N330" i="8"/>
  <c r="J331" i="8"/>
  <c r="L331" i="8" s="1"/>
  <c r="N331" i="8"/>
  <c r="J332" i="8"/>
  <c r="L332" i="8" s="1"/>
  <c r="N332" i="8"/>
  <c r="J333" i="8"/>
  <c r="L333" i="8" s="1"/>
  <c r="N333" i="8"/>
  <c r="J334" i="8"/>
  <c r="L334" i="8" s="1"/>
  <c r="N334" i="8"/>
  <c r="J335" i="8"/>
  <c r="L335" i="8" s="1"/>
  <c r="N335" i="8"/>
  <c r="J336" i="8"/>
  <c r="L336" i="8" s="1"/>
  <c r="N336" i="8"/>
  <c r="J337" i="8"/>
  <c r="L337" i="8" s="1"/>
  <c r="N337" i="8"/>
  <c r="J338" i="8"/>
  <c r="L338" i="8" s="1"/>
  <c r="N338" i="8"/>
  <c r="J339" i="8"/>
  <c r="L339" i="8" s="1"/>
  <c r="N339" i="8"/>
  <c r="J340" i="8"/>
  <c r="L340" i="8" s="1"/>
  <c r="N340" i="8"/>
  <c r="J341" i="8"/>
  <c r="L341" i="8" s="1"/>
  <c r="N341" i="8"/>
  <c r="J342" i="8"/>
  <c r="L342" i="8" s="1"/>
  <c r="N342" i="8"/>
  <c r="J343" i="8"/>
  <c r="L343" i="8" s="1"/>
  <c r="N343" i="8"/>
  <c r="J344" i="8"/>
  <c r="L344" i="8" s="1"/>
  <c r="N344" i="8"/>
  <c r="J345" i="8"/>
  <c r="L345" i="8" s="1"/>
  <c r="N345" i="8"/>
  <c r="J346" i="8"/>
  <c r="L346" i="8" s="1"/>
  <c r="N346" i="8"/>
  <c r="J347" i="8"/>
  <c r="L347" i="8" s="1"/>
  <c r="N347" i="8"/>
  <c r="J348" i="8"/>
  <c r="L348" i="8" s="1"/>
  <c r="N348" i="8"/>
  <c r="N43" i="8" s="1"/>
  <c r="R10" i="28"/>
  <c r="S10" i="28" s="1"/>
  <c r="Q10" i="28"/>
  <c r="J11" i="28"/>
  <c r="B21" i="28"/>
  <c r="F24" i="29"/>
  <c r="D24" i="29"/>
  <c r="D22" i="29"/>
  <c r="R10" i="29"/>
  <c r="S10" i="29" s="1"/>
  <c r="Q10" i="29"/>
  <c r="J11" i="29"/>
  <c r="K10" i="29"/>
  <c r="I5" i="7"/>
  <c r="W58" i="29"/>
  <c r="X58" i="29" s="1"/>
  <c r="W57" i="29"/>
  <c r="X57" i="29" s="1"/>
  <c r="W56" i="29"/>
  <c r="Y56" i="29" s="1"/>
  <c r="W55" i="29"/>
  <c r="W54" i="29"/>
  <c r="Y54" i="29" s="1"/>
  <c r="W53" i="29"/>
  <c r="Y53" i="29" s="1"/>
  <c r="W52" i="29"/>
  <c r="X52" i="29" s="1"/>
  <c r="W51" i="29"/>
  <c r="Y51" i="29" s="1"/>
  <c r="W50" i="29"/>
  <c r="Y50" i="29" s="1"/>
  <c r="W49" i="29"/>
  <c r="W48" i="29"/>
  <c r="Y48" i="29" s="1"/>
  <c r="W47" i="29"/>
  <c r="Y47" i="29" s="1"/>
  <c r="W46" i="29"/>
  <c r="X46" i="29" s="1"/>
  <c r="W45" i="29"/>
  <c r="Y45" i="29" s="1"/>
  <c r="W44" i="29"/>
  <c r="Y44" i="29" s="1"/>
  <c r="W43" i="29"/>
  <c r="W42" i="29"/>
  <c r="Y42" i="29" s="1"/>
  <c r="W41" i="29"/>
  <c r="Y41" i="29" s="1"/>
  <c r="W40" i="29"/>
  <c r="X40" i="29" s="1"/>
  <c r="W39" i="29"/>
  <c r="Y39" i="29" s="1"/>
  <c r="W38" i="29"/>
  <c r="Y38" i="29" s="1"/>
  <c r="W37" i="29"/>
  <c r="W36" i="29"/>
  <c r="Y36" i="29" s="1"/>
  <c r="W35" i="29"/>
  <c r="Y35" i="29" s="1"/>
  <c r="W34" i="29"/>
  <c r="X34" i="29" s="1"/>
  <c r="W33" i="29"/>
  <c r="X33" i="29" s="1"/>
  <c r="W32" i="29"/>
  <c r="Y32" i="29" s="1"/>
  <c r="W31" i="29"/>
  <c r="W30" i="29"/>
  <c r="X30" i="29" s="1"/>
  <c r="H27" i="29"/>
  <c r="W29" i="29"/>
  <c r="Y29" i="29" s="1"/>
  <c r="D29" i="29"/>
  <c r="D28" i="29"/>
  <c r="B19" i="29"/>
  <c r="W9" i="29"/>
  <c r="Y9" i="29" s="1"/>
  <c r="Y4" i="29"/>
  <c r="V4" i="29"/>
  <c r="Y3" i="29"/>
  <c r="V3" i="29"/>
  <c r="V2" i="29"/>
  <c r="V1" i="29"/>
  <c r="G25" i="28"/>
  <c r="D24" i="28"/>
  <c r="D23" i="28"/>
  <c r="G15" i="28"/>
  <c r="G17" i="28" s="1"/>
  <c r="U10" i="28"/>
  <c r="V9" i="28"/>
  <c r="J5" i="22"/>
  <c r="D5" i="22"/>
  <c r="D6" i="20"/>
  <c r="D5" i="20"/>
  <c r="G25" i="19"/>
  <c r="G24" i="19"/>
  <c r="E6" i="13"/>
  <c r="E5" i="13"/>
  <c r="D16" i="12"/>
  <c r="D15" i="12"/>
  <c r="J29" i="11"/>
  <c r="B29" i="11"/>
  <c r="K22" i="10"/>
  <c r="D22" i="10"/>
  <c r="D13" i="9"/>
  <c r="D12" i="9"/>
  <c r="K10" i="8"/>
  <c r="D10" i="8"/>
  <c r="I13" i="7"/>
  <c r="B13" i="7"/>
  <c r="D13" i="6"/>
  <c r="D12" i="6"/>
  <c r="B18" i="10"/>
  <c r="B13" i="10"/>
  <c r="B6" i="10"/>
  <c r="E19" i="8" l="1"/>
  <c r="N104" i="30"/>
  <c r="L105" i="30"/>
  <c r="N105" i="30" s="1"/>
  <c r="F107" i="30"/>
  <c r="S106" i="30"/>
  <c r="D26" i="29"/>
  <c r="F26" i="29"/>
  <c r="B20" i="8"/>
  <c r="E27" i="10"/>
  <c r="G27" i="10" s="1"/>
  <c r="I27" i="10" s="1"/>
  <c r="B28" i="10"/>
  <c r="C27" i="10"/>
  <c r="R11" i="28"/>
  <c r="S11" i="28" s="1"/>
  <c r="Q11" i="28"/>
  <c r="J12" i="28"/>
  <c r="M10" i="29"/>
  <c r="T10" i="29"/>
  <c r="U10" i="29" s="1"/>
  <c r="R11" i="29"/>
  <c r="S11" i="29" s="1"/>
  <c r="Q11" i="29"/>
  <c r="K11" i="29" s="1"/>
  <c r="J12" i="29"/>
  <c r="X51" i="29"/>
  <c r="X44" i="29"/>
  <c r="Y33" i="29"/>
  <c r="X45" i="29"/>
  <c r="Y34" i="29"/>
  <c r="X39" i="29"/>
  <c r="X50" i="29"/>
  <c r="Y57" i="29"/>
  <c r="Y40" i="29"/>
  <c r="W10" i="29"/>
  <c r="Y52" i="29"/>
  <c r="X32" i="29"/>
  <c r="Y46" i="29"/>
  <c r="Y58" i="29"/>
  <c r="V10" i="28"/>
  <c r="Y55" i="29"/>
  <c r="X55" i="29"/>
  <c r="Y31" i="29"/>
  <c r="X31" i="29"/>
  <c r="Y49" i="29"/>
  <c r="X49" i="29"/>
  <c r="Y37" i="29"/>
  <c r="X37" i="29"/>
  <c r="X38" i="29"/>
  <c r="Y43" i="29"/>
  <c r="X43" i="29"/>
  <c r="X56" i="29"/>
  <c r="X29" i="29"/>
  <c r="X36" i="29"/>
  <c r="X42" i="29"/>
  <c r="X48" i="29"/>
  <c r="X54" i="29"/>
  <c r="X9" i="29"/>
  <c r="Y30" i="29"/>
  <c r="X35" i="29"/>
  <c r="X41" i="29"/>
  <c r="X47" i="29"/>
  <c r="X53" i="29"/>
  <c r="U11" i="28"/>
  <c r="S14" i="22"/>
  <c r="S12" i="22"/>
  <c r="S9" i="22"/>
  <c r="S10" i="22" s="1"/>
  <c r="S8" i="22"/>
  <c r="Q20" i="22"/>
  <c r="Q21" i="22"/>
  <c r="Q22" i="22"/>
  <c r="Q23" i="22"/>
  <c r="Q24" i="22"/>
  <c r="Q25" i="22"/>
  <c r="Q26" i="22"/>
  <c r="Q27" i="22"/>
  <c r="Q28" i="22"/>
  <c r="Q29" i="22"/>
  <c r="Q30" i="22"/>
  <c r="J20" i="22"/>
  <c r="J21" i="22"/>
  <c r="J22" i="22"/>
  <c r="J23" i="22"/>
  <c r="J24" i="22"/>
  <c r="J25" i="22"/>
  <c r="J26" i="22"/>
  <c r="J27" i="22"/>
  <c r="J28" i="22"/>
  <c r="J29" i="22"/>
  <c r="J30" i="22"/>
  <c r="Q19" i="22"/>
  <c r="J19" i="22"/>
  <c r="P105" i="30" l="1"/>
  <c r="E20" i="8"/>
  <c r="L106" i="30"/>
  <c r="P106" i="30" s="1"/>
  <c r="H34" i="30" s="1"/>
  <c r="F108" i="30"/>
  <c r="S107" i="30"/>
  <c r="B21" i="8"/>
  <c r="E28" i="10"/>
  <c r="G28" i="10" s="1"/>
  <c r="I28" i="10" s="1"/>
  <c r="C28" i="10"/>
  <c r="B29" i="10"/>
  <c r="Q12" i="28"/>
  <c r="R12" i="28"/>
  <c r="S12" i="28" s="1"/>
  <c r="J13" i="28"/>
  <c r="M11" i="29"/>
  <c r="T11" i="29"/>
  <c r="U11" i="29" s="1"/>
  <c r="J13" i="29"/>
  <c r="R12" i="29"/>
  <c r="S12" i="29" s="1"/>
  <c r="Q12" i="29"/>
  <c r="K12" i="29" s="1"/>
  <c r="X10" i="29"/>
  <c r="Y10" i="29"/>
  <c r="W11" i="29"/>
  <c r="U12" i="28"/>
  <c r="V11" i="28"/>
  <c r="N21" i="22"/>
  <c r="N27" i="22"/>
  <c r="N28" i="22"/>
  <c r="L22" i="22"/>
  <c r="N26" i="22"/>
  <c r="L20" i="22"/>
  <c r="L29" i="22"/>
  <c r="L23" i="22"/>
  <c r="N25" i="22"/>
  <c r="L28" i="22"/>
  <c r="N19" i="22"/>
  <c r="N8" i="22"/>
  <c r="N9" i="22" s="1"/>
  <c r="L25" i="22"/>
  <c r="L30" i="22"/>
  <c r="N11" i="22"/>
  <c r="N12" i="22" s="1"/>
  <c r="N30" i="22"/>
  <c r="N23" i="22"/>
  <c r="N24" i="22"/>
  <c r="L26" i="22"/>
  <c r="N29" i="22"/>
  <c r="N22" i="22"/>
  <c r="N20" i="22"/>
  <c r="L27" i="22"/>
  <c r="L21" i="22"/>
  <c r="L24" i="22"/>
  <c r="L19" i="22"/>
  <c r="E21" i="8" l="1"/>
  <c r="N106" i="30"/>
  <c r="F34" i="30"/>
  <c r="F109" i="30"/>
  <c r="S108" i="30"/>
  <c r="L107" i="30"/>
  <c r="N107" i="30" s="1"/>
  <c r="B22" i="8"/>
  <c r="E29" i="10"/>
  <c r="G29" i="10" s="1"/>
  <c r="I29" i="10" s="1"/>
  <c r="C29" i="10"/>
  <c r="B30" i="10"/>
  <c r="Q13" i="28"/>
  <c r="R13" i="28"/>
  <c r="S13" i="28" s="1"/>
  <c r="J14" i="28"/>
  <c r="T12" i="29"/>
  <c r="U12" i="29" s="1"/>
  <c r="M12" i="29"/>
  <c r="Q13" i="29"/>
  <c r="K13" i="29" s="1"/>
  <c r="R13" i="29"/>
  <c r="S13" i="29" s="1"/>
  <c r="J14" i="29"/>
  <c r="X11" i="29"/>
  <c r="W12" i="29"/>
  <c r="Y11" i="29"/>
  <c r="V12" i="28"/>
  <c r="U13" i="28"/>
  <c r="N6" i="22"/>
  <c r="P107" i="30" l="1"/>
  <c r="E22" i="8"/>
  <c r="L108" i="30"/>
  <c r="P108" i="30" s="1"/>
  <c r="F110" i="30"/>
  <c r="S109" i="30"/>
  <c r="B23" i="8"/>
  <c r="E30" i="10"/>
  <c r="G30" i="10" s="1"/>
  <c r="I30" i="10" s="1"/>
  <c r="C30" i="10"/>
  <c r="B31" i="10"/>
  <c r="Q14" i="28"/>
  <c r="R14" i="28"/>
  <c r="S14" i="28" s="1"/>
  <c r="J15" i="28"/>
  <c r="R14" i="29"/>
  <c r="S14" i="29" s="1"/>
  <c r="Q14" i="29"/>
  <c r="J15" i="29"/>
  <c r="T13" i="29"/>
  <c r="U13" i="29" s="1"/>
  <c r="M13" i="29"/>
  <c r="W13" i="29"/>
  <c r="Y12" i="29"/>
  <c r="X12" i="29"/>
  <c r="V13" i="28"/>
  <c r="U14" i="28"/>
  <c r="G24" i="20"/>
  <c r="G25" i="20" s="1"/>
  <c r="G22" i="20"/>
  <c r="G23" i="20" s="1"/>
  <c r="G21" i="20"/>
  <c r="J20" i="20"/>
  <c r="G18" i="20"/>
  <c r="B18" i="20"/>
  <c r="X6" i="20"/>
  <c r="Y6" i="20" s="1"/>
  <c r="V6" i="20"/>
  <c r="W6" i="20" s="1"/>
  <c r="U6" i="20"/>
  <c r="T6" i="20"/>
  <c r="S7" i="20"/>
  <c r="I6" i="20"/>
  <c r="E23" i="8" l="1"/>
  <c r="N108" i="30"/>
  <c r="F111" i="30"/>
  <c r="S110" i="30"/>
  <c r="L109" i="30"/>
  <c r="P109" i="30" s="1"/>
  <c r="K14" i="29"/>
  <c r="M14" i="29" s="1"/>
  <c r="B24" i="8"/>
  <c r="E31" i="10"/>
  <c r="G31" i="10" s="1"/>
  <c r="I31" i="10" s="1"/>
  <c r="C31" i="10"/>
  <c r="B32" i="10"/>
  <c r="Q15" i="28"/>
  <c r="R15" i="28"/>
  <c r="S15" i="28" s="1"/>
  <c r="J16" i="28"/>
  <c r="Q15" i="29"/>
  <c r="R15" i="29"/>
  <c r="S15" i="29" s="1"/>
  <c r="J16" i="29"/>
  <c r="X13" i="29"/>
  <c r="Y13" i="29"/>
  <c r="W14" i="29"/>
  <c r="U15" i="28"/>
  <c r="V14" i="28"/>
  <c r="V7" i="20"/>
  <c r="W7" i="20" s="1"/>
  <c r="G26" i="20"/>
  <c r="Z6" i="20"/>
  <c r="AA6" i="20" s="1"/>
  <c r="U7" i="20"/>
  <c r="X7" i="20"/>
  <c r="Y7" i="20" s="1"/>
  <c r="T7" i="20"/>
  <c r="S8" i="20"/>
  <c r="E24" i="8" l="1"/>
  <c r="N109" i="30"/>
  <c r="L110" i="30"/>
  <c r="P110" i="30" s="1"/>
  <c r="F112" i="30"/>
  <c r="S111" i="30"/>
  <c r="K15" i="29"/>
  <c r="T14" i="29"/>
  <c r="U14" i="29" s="1"/>
  <c r="B25" i="8"/>
  <c r="E32" i="10"/>
  <c r="G32" i="10" s="1"/>
  <c r="I32" i="10" s="1"/>
  <c r="C32" i="10"/>
  <c r="B33" i="10"/>
  <c r="Q16" i="28"/>
  <c r="R16" i="28"/>
  <c r="S16" i="28" s="1"/>
  <c r="J17" i="28"/>
  <c r="Q16" i="29"/>
  <c r="R16" i="29"/>
  <c r="S16" i="29" s="1"/>
  <c r="J17" i="29"/>
  <c r="X14" i="29"/>
  <c r="W15" i="29"/>
  <c r="Y14" i="29"/>
  <c r="V15" i="28"/>
  <c r="U16" i="28"/>
  <c r="Z7" i="20"/>
  <c r="AA7" i="20" s="1"/>
  <c r="V8" i="20"/>
  <c r="W8" i="20" s="1"/>
  <c r="X8" i="20"/>
  <c r="Y8" i="20" s="1"/>
  <c r="S9" i="20"/>
  <c r="U8" i="20"/>
  <c r="T8" i="20"/>
  <c r="E25" i="8" l="1"/>
  <c r="K16" i="29"/>
  <c r="N110" i="30"/>
  <c r="F35" i="30"/>
  <c r="H35" i="30"/>
  <c r="L111" i="30"/>
  <c r="N111" i="30" s="1"/>
  <c r="F113" i="30"/>
  <c r="S112" i="30"/>
  <c r="T15" i="29"/>
  <c r="U15" i="29" s="1"/>
  <c r="M15" i="29"/>
  <c r="B26" i="8"/>
  <c r="E33" i="10"/>
  <c r="G33" i="10" s="1"/>
  <c r="I33" i="10" s="1"/>
  <c r="C33" i="10"/>
  <c r="B34" i="10"/>
  <c r="Q17" i="28"/>
  <c r="R17" i="28"/>
  <c r="S17" i="28" s="1"/>
  <c r="J18" i="28"/>
  <c r="R17" i="29"/>
  <c r="S17" i="29" s="1"/>
  <c r="Q17" i="29"/>
  <c r="J18" i="29"/>
  <c r="Y15" i="29"/>
  <c r="X15" i="29"/>
  <c r="W16" i="29"/>
  <c r="V16" i="28"/>
  <c r="U17" i="28"/>
  <c r="U9" i="20"/>
  <c r="Z8" i="20"/>
  <c r="AA8" i="20" s="1"/>
  <c r="S10" i="20"/>
  <c r="V9" i="20"/>
  <c r="W9" i="20" s="1"/>
  <c r="T9" i="20"/>
  <c r="X9" i="20"/>
  <c r="S14" i="19"/>
  <c r="S13" i="19"/>
  <c r="S8" i="19"/>
  <c r="P111" i="30" l="1"/>
  <c r="K17" i="29"/>
  <c r="T17" i="29" s="1"/>
  <c r="E26" i="8"/>
  <c r="T16" i="29"/>
  <c r="U16" i="29" s="1"/>
  <c r="M16" i="29"/>
  <c r="L112" i="30"/>
  <c r="N112" i="30" s="1"/>
  <c r="F114" i="30"/>
  <c r="S113" i="30"/>
  <c r="B27" i="8"/>
  <c r="E34" i="10"/>
  <c r="G34" i="10" s="1"/>
  <c r="I34" i="10" s="1"/>
  <c r="C34" i="10"/>
  <c r="B35" i="10"/>
  <c r="Q18" i="28"/>
  <c r="R18" i="28"/>
  <c r="S18" i="28" s="1"/>
  <c r="J19" i="28"/>
  <c r="Q18" i="29"/>
  <c r="R18" i="29"/>
  <c r="S18" i="29" s="1"/>
  <c r="J19" i="29"/>
  <c r="X16" i="29"/>
  <c r="W17" i="29"/>
  <c r="Y16" i="29"/>
  <c r="U18" i="28"/>
  <c r="V17" i="28"/>
  <c r="X10" i="20"/>
  <c r="Y10" i="20" s="1"/>
  <c r="T10" i="20"/>
  <c r="S11" i="20"/>
  <c r="V10" i="20"/>
  <c r="W10" i="20" s="1"/>
  <c r="Y9" i="20"/>
  <c r="Z9" i="20" s="1"/>
  <c r="AA9" i="20" s="1"/>
  <c r="U10" i="20"/>
  <c r="S9" i="19"/>
  <c r="S12" i="19" s="1"/>
  <c r="S17" i="19" s="1"/>
  <c r="K22" i="19" s="1"/>
  <c r="K19" i="19" s="1"/>
  <c r="M17" i="29" l="1"/>
  <c r="V7" i="29" s="1"/>
  <c r="K18" i="29"/>
  <c r="P112" i="30"/>
  <c r="E27" i="8"/>
  <c r="U17" i="29"/>
  <c r="L113" i="30"/>
  <c r="N113" i="30" s="1"/>
  <c r="F115" i="30"/>
  <c r="S114" i="30"/>
  <c r="B28" i="8"/>
  <c r="E35" i="10"/>
  <c r="G35" i="10" s="1"/>
  <c r="I35" i="10" s="1"/>
  <c r="C35" i="10"/>
  <c r="B36" i="10"/>
  <c r="Q19" i="28"/>
  <c r="R19" i="28"/>
  <c r="S19" i="28" s="1"/>
  <c r="J20" i="28"/>
  <c r="Q19" i="29"/>
  <c r="R19" i="29"/>
  <c r="S19" i="29" s="1"/>
  <c r="J20" i="29"/>
  <c r="W18" i="29"/>
  <c r="Y17" i="29"/>
  <c r="X17" i="29"/>
  <c r="U19" i="28"/>
  <c r="V18" i="28"/>
  <c r="X11" i="20"/>
  <c r="Y11" i="20" s="1"/>
  <c r="U11" i="20"/>
  <c r="T11" i="20"/>
  <c r="Z10" i="20"/>
  <c r="AA10" i="20" s="1"/>
  <c r="S12" i="20"/>
  <c r="V11" i="20"/>
  <c r="K26" i="19"/>
  <c r="J6" i="13"/>
  <c r="I16" i="12"/>
  <c r="H29" i="11"/>
  <c r="N23" i="10"/>
  <c r="L13" i="9"/>
  <c r="N11" i="8"/>
  <c r="M14" i="7"/>
  <c r="M18" i="29" l="1"/>
  <c r="T18" i="29"/>
  <c r="U18" i="29" s="1"/>
  <c r="P113" i="30"/>
  <c r="E28" i="8"/>
  <c r="F28" i="8"/>
  <c r="L114" i="30"/>
  <c r="P114" i="30" s="1"/>
  <c r="S115" i="30"/>
  <c r="F116" i="30"/>
  <c r="K19" i="29"/>
  <c r="T19" i="29" s="1"/>
  <c r="L28" i="8"/>
  <c r="N28" i="8" s="1"/>
  <c r="J28" i="8"/>
  <c r="B29" i="8"/>
  <c r="E36" i="10"/>
  <c r="G36" i="10" s="1"/>
  <c r="I36" i="10" s="1"/>
  <c r="C36" i="10"/>
  <c r="B37" i="10"/>
  <c r="Q20" i="28"/>
  <c r="K20" i="28" s="1"/>
  <c r="R20" i="28"/>
  <c r="S20" i="28" s="1"/>
  <c r="J21" i="28"/>
  <c r="Q20" i="29"/>
  <c r="J21" i="29"/>
  <c r="R20" i="29"/>
  <c r="S20" i="29" s="1"/>
  <c r="Y18" i="29"/>
  <c r="X18" i="29"/>
  <c r="W19" i="29"/>
  <c r="U20" i="28"/>
  <c r="V19" i="28"/>
  <c r="S13" i="20"/>
  <c r="X12" i="20"/>
  <c r="T12" i="20"/>
  <c r="U12" i="20"/>
  <c r="V12" i="20"/>
  <c r="W11" i="20"/>
  <c r="Z11" i="20" s="1"/>
  <c r="AA11" i="20" s="1"/>
  <c r="J50" i="8"/>
  <c r="L50" i="8" s="1"/>
  <c r="J51" i="8"/>
  <c r="L51" i="8" s="1"/>
  <c r="J52" i="8"/>
  <c r="L52" i="8" s="1"/>
  <c r="J53" i="8"/>
  <c r="L53" i="8" s="1"/>
  <c r="J54" i="8"/>
  <c r="L54" i="8" s="1"/>
  <c r="J55" i="8"/>
  <c r="L55" i="8" s="1"/>
  <c r="J56" i="8"/>
  <c r="L56" i="8" s="1"/>
  <c r="J57" i="8"/>
  <c r="L57" i="8" s="1"/>
  <c r="J58" i="8"/>
  <c r="L58" i="8" s="1"/>
  <c r="J59" i="8"/>
  <c r="L59" i="8" s="1"/>
  <c r="J60" i="8"/>
  <c r="L60" i="8" s="1"/>
  <c r="J61" i="8"/>
  <c r="L61" i="8" s="1"/>
  <c r="J62" i="8"/>
  <c r="L62" i="8" s="1"/>
  <c r="J63" i="8"/>
  <c r="L63" i="8" s="1"/>
  <c r="J64" i="8"/>
  <c r="L64" i="8" s="1"/>
  <c r="J65" i="8"/>
  <c r="L65" i="8" s="1"/>
  <c r="J66" i="8"/>
  <c r="L66" i="8" s="1"/>
  <c r="J67" i="8"/>
  <c r="L67" i="8" s="1"/>
  <c r="J68" i="8"/>
  <c r="L68" i="8" s="1"/>
  <c r="J69" i="8"/>
  <c r="L69" i="8" s="1"/>
  <c r="J70" i="8"/>
  <c r="L70" i="8" s="1"/>
  <c r="J71" i="8"/>
  <c r="L71" i="8" s="1"/>
  <c r="J72" i="8"/>
  <c r="L72" i="8" s="1"/>
  <c r="J73" i="8"/>
  <c r="L73" i="8" s="1"/>
  <c r="J74" i="8"/>
  <c r="L74" i="8" s="1"/>
  <c r="J75" i="8"/>
  <c r="L75" i="8" s="1"/>
  <c r="J76" i="8"/>
  <c r="L76" i="8" s="1"/>
  <c r="J77" i="8"/>
  <c r="L77" i="8" s="1"/>
  <c r="J78" i="8"/>
  <c r="L78" i="8" s="1"/>
  <c r="J79" i="8"/>
  <c r="L79" i="8" s="1"/>
  <c r="J80" i="8"/>
  <c r="L80" i="8" s="1"/>
  <c r="J81" i="8"/>
  <c r="L81" i="8" s="1"/>
  <c r="J82" i="8"/>
  <c r="L82" i="8" s="1"/>
  <c r="J83" i="8"/>
  <c r="L83" i="8" s="1"/>
  <c r="J84" i="8"/>
  <c r="L84" i="8" s="1"/>
  <c r="J85" i="8"/>
  <c r="L85" i="8" s="1"/>
  <c r="J86" i="8"/>
  <c r="L86" i="8" s="1"/>
  <c r="J87" i="8"/>
  <c r="L87" i="8" s="1"/>
  <c r="J88" i="8"/>
  <c r="L88" i="8" s="1"/>
  <c r="J89" i="8"/>
  <c r="L89" i="8" s="1"/>
  <c r="J90" i="8"/>
  <c r="L90" i="8" s="1"/>
  <c r="J91" i="8"/>
  <c r="L91" i="8" s="1"/>
  <c r="J92" i="8"/>
  <c r="L92" i="8" s="1"/>
  <c r="J93" i="8"/>
  <c r="L93" i="8" s="1"/>
  <c r="J94" i="8"/>
  <c r="L94" i="8" s="1"/>
  <c r="J95" i="8"/>
  <c r="L95" i="8" s="1"/>
  <c r="J96" i="8"/>
  <c r="L96" i="8" s="1"/>
  <c r="J97" i="8"/>
  <c r="L97" i="8" s="1"/>
  <c r="J98" i="8"/>
  <c r="L98" i="8" s="1"/>
  <c r="J99" i="8"/>
  <c r="L99" i="8" s="1"/>
  <c r="J100" i="8"/>
  <c r="L100" i="8" s="1"/>
  <c r="J101" i="8"/>
  <c r="L101" i="8" s="1"/>
  <c r="J102" i="8"/>
  <c r="L102" i="8" s="1"/>
  <c r="J103" i="8"/>
  <c r="L103" i="8" s="1"/>
  <c r="J104" i="8"/>
  <c r="L104" i="8" s="1"/>
  <c r="J105" i="8"/>
  <c r="L105" i="8" s="1"/>
  <c r="J106" i="8"/>
  <c r="L106" i="8" s="1"/>
  <c r="J107" i="8"/>
  <c r="L107" i="8" s="1"/>
  <c r="J108" i="8"/>
  <c r="L108" i="8" s="1"/>
  <c r="J49" i="8"/>
  <c r="T5"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49" i="8"/>
  <c r="U19" i="29" l="1"/>
  <c r="E29" i="8"/>
  <c r="F29" i="8"/>
  <c r="N114" i="30"/>
  <c r="F36" i="30"/>
  <c r="H36" i="30"/>
  <c r="L31" i="30" s="1"/>
  <c r="F117" i="30"/>
  <c r="S116" i="30"/>
  <c r="L115" i="30"/>
  <c r="P115" i="30" s="1"/>
  <c r="M19" i="29"/>
  <c r="K20" i="29"/>
  <c r="L29" i="8"/>
  <c r="N29" i="8" s="1"/>
  <c r="J29" i="8"/>
  <c r="B30" i="8"/>
  <c r="E37" i="10"/>
  <c r="G37" i="10" s="1"/>
  <c r="I37" i="10" s="1"/>
  <c r="C37" i="10"/>
  <c r="B38" i="10"/>
  <c r="R19" i="8"/>
  <c r="R23" i="8"/>
  <c r="R24" i="8"/>
  <c r="R25" i="8"/>
  <c r="R26" i="8"/>
  <c r="R27" i="8"/>
  <c r="R28" i="8"/>
  <c r="R29" i="8"/>
  <c r="R30" i="8"/>
  <c r="R31" i="8"/>
  <c r="R32" i="8"/>
  <c r="R33" i="8"/>
  <c r="R34" i="8"/>
  <c r="R35" i="8"/>
  <c r="R36" i="8"/>
  <c r="R37" i="8"/>
  <c r="R38" i="8"/>
  <c r="R39" i="8"/>
  <c r="R40" i="8"/>
  <c r="R41" i="8"/>
  <c r="R42" i="8"/>
  <c r="Q21" i="28"/>
  <c r="K21" i="28" s="1"/>
  <c r="R21" i="28"/>
  <c r="S21" i="28" s="1"/>
  <c r="J22" i="28"/>
  <c r="Q21" i="29"/>
  <c r="J22" i="29"/>
  <c r="R21" i="29"/>
  <c r="S21" i="29" s="1"/>
  <c r="X19" i="29"/>
  <c r="Y19" i="29"/>
  <c r="W20" i="29"/>
  <c r="U21" i="28"/>
  <c r="V20" i="28"/>
  <c r="T13" i="20"/>
  <c r="X13" i="20"/>
  <c r="Y13" i="20" s="1"/>
  <c r="U13" i="20"/>
  <c r="V13" i="20"/>
  <c r="W13" i="20" s="1"/>
  <c r="W12" i="20"/>
  <c r="Y12" i="20"/>
  <c r="S14" i="20"/>
  <c r="L49" i="8"/>
  <c r="R18" i="8"/>
  <c r="R22" i="8"/>
  <c r="R21" i="8"/>
  <c r="R2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50" i="8"/>
  <c r="N49" i="8"/>
  <c r="E30" i="8" l="1"/>
  <c r="F30" i="8"/>
  <c r="N115" i="30"/>
  <c r="L116" i="30"/>
  <c r="N116" i="30" s="1"/>
  <c r="F118" i="30"/>
  <c r="S118" i="30" s="1"/>
  <c r="S117" i="30"/>
  <c r="K21" i="29"/>
  <c r="T21" i="29" s="1"/>
  <c r="M20" i="29"/>
  <c r="T20" i="29"/>
  <c r="U20" i="29" s="1"/>
  <c r="L21" i="8"/>
  <c r="N21" i="8" s="1"/>
  <c r="J21" i="8"/>
  <c r="J26" i="8"/>
  <c r="L26" i="8"/>
  <c r="N26" i="8" s="1"/>
  <c r="L19" i="8"/>
  <c r="N19" i="8" s="1"/>
  <c r="J19" i="8"/>
  <c r="J30" i="8"/>
  <c r="N30" i="8"/>
  <c r="L30" i="8"/>
  <c r="J22" i="8"/>
  <c r="L22" i="8"/>
  <c r="N22" i="8" s="1"/>
  <c r="L25" i="8"/>
  <c r="N25" i="8" s="1"/>
  <c r="J25" i="8"/>
  <c r="L18" i="8"/>
  <c r="N18" i="8" s="1"/>
  <c r="J18" i="8"/>
  <c r="L24" i="8"/>
  <c r="N24" i="8" s="1"/>
  <c r="J24" i="8"/>
  <c r="L20" i="8"/>
  <c r="N20" i="8" s="1"/>
  <c r="J20" i="8"/>
  <c r="L27" i="8"/>
  <c r="N27" i="8" s="1"/>
  <c r="J27" i="8"/>
  <c r="L23" i="8"/>
  <c r="N23" i="8" s="1"/>
  <c r="J23" i="8"/>
  <c r="B31" i="8"/>
  <c r="E38" i="10"/>
  <c r="G38" i="10" s="1"/>
  <c r="I38" i="10" s="1"/>
  <c r="C38" i="10"/>
  <c r="B39" i="10"/>
  <c r="J23" i="29"/>
  <c r="Q22" i="29"/>
  <c r="R22" i="29"/>
  <c r="S22" i="29" s="1"/>
  <c r="Q22" i="28"/>
  <c r="K22" i="28" s="1"/>
  <c r="R22" i="28"/>
  <c r="S22" i="28" s="1"/>
  <c r="J23" i="28"/>
  <c r="Y20" i="29"/>
  <c r="W21" i="29"/>
  <c r="X20" i="29"/>
  <c r="V21" i="28"/>
  <c r="U22" i="28"/>
  <c r="Z13" i="20"/>
  <c r="V14" i="20"/>
  <c r="W14" i="20" s="1"/>
  <c r="T14" i="20"/>
  <c r="X14" i="20"/>
  <c r="Y14" i="20" s="1"/>
  <c r="U14" i="20"/>
  <c r="Z12" i="20"/>
  <c r="AA12" i="20" s="1"/>
  <c r="S15" i="20"/>
  <c r="P116" i="30" l="1"/>
  <c r="E31" i="8"/>
  <c r="F31" i="8"/>
  <c r="L117" i="30"/>
  <c r="N117" i="30" s="1"/>
  <c r="L118" i="30"/>
  <c r="N118" i="30" s="1"/>
  <c r="N119" i="30" s="1"/>
  <c r="K22" i="29"/>
  <c r="T22" i="29" s="1"/>
  <c r="M21" i="29"/>
  <c r="U21" i="29"/>
  <c r="L31" i="8"/>
  <c r="J31" i="8"/>
  <c r="N31" i="8"/>
  <c r="E39" i="10"/>
  <c r="G39" i="10" s="1"/>
  <c r="I39" i="10" s="1"/>
  <c r="B32" i="8"/>
  <c r="R23" i="29"/>
  <c r="S23" i="29" s="1"/>
  <c r="Q23" i="29"/>
  <c r="J24" i="29"/>
  <c r="R24" i="29" s="1"/>
  <c r="S24" i="29" s="1"/>
  <c r="C39" i="10"/>
  <c r="B40" i="10"/>
  <c r="Q23" i="28"/>
  <c r="K23" i="28" s="1"/>
  <c r="R23" i="28"/>
  <c r="S23" i="28" s="1"/>
  <c r="J24" i="28"/>
  <c r="X21" i="29"/>
  <c r="W22" i="29"/>
  <c r="Y21" i="29"/>
  <c r="V22" i="28"/>
  <c r="U23" i="28"/>
  <c r="AA13" i="20"/>
  <c r="Z14" i="20"/>
  <c r="S16" i="20"/>
  <c r="T15" i="20"/>
  <c r="U15" i="20"/>
  <c r="X15" i="20"/>
  <c r="Y15" i="20" s="1"/>
  <c r="V15" i="20"/>
  <c r="I13" i="6"/>
  <c r="N25" i="13"/>
  <c r="N26" i="13" s="1"/>
  <c r="Q23" i="13" s="1"/>
  <c r="G27" i="13"/>
  <c r="G26" i="13"/>
  <c r="N21" i="13"/>
  <c r="Q21" i="13" s="1"/>
  <c r="G22" i="13"/>
  <c r="G21" i="13"/>
  <c r="G20" i="13"/>
  <c r="P117" i="30" l="1"/>
  <c r="P118" i="30"/>
  <c r="E32" i="8"/>
  <c r="F32" i="8"/>
  <c r="U22" i="29"/>
  <c r="M22" i="29"/>
  <c r="K23" i="29"/>
  <c r="P119" i="30"/>
  <c r="N32" i="8"/>
  <c r="L32" i="8"/>
  <c r="J32" i="8"/>
  <c r="E40" i="10"/>
  <c r="G40" i="10" s="1"/>
  <c r="I40" i="10" s="1"/>
  <c r="B33" i="8"/>
  <c r="J25" i="29"/>
  <c r="Q24" i="29"/>
  <c r="C40" i="10"/>
  <c r="B41" i="10"/>
  <c r="Q24" i="28"/>
  <c r="K24" i="28" s="1"/>
  <c r="R24" i="28"/>
  <c r="S24" i="28" s="1"/>
  <c r="J25" i="28"/>
  <c r="Y22" i="29"/>
  <c r="X22" i="29"/>
  <c r="W23" i="29"/>
  <c r="W24" i="29" s="1"/>
  <c r="U24" i="28"/>
  <c r="V23" i="28"/>
  <c r="AA14" i="20"/>
  <c r="V16" i="20"/>
  <c r="W16" i="20" s="1"/>
  <c r="T16" i="20"/>
  <c r="W15" i="20"/>
  <c r="Z15" i="20" s="1"/>
  <c r="X16" i="20"/>
  <c r="Y16" i="20" s="1"/>
  <c r="U16" i="20"/>
  <c r="S17" i="20"/>
  <c r="Q20" i="13"/>
  <c r="Q22" i="13"/>
  <c r="T22" i="12"/>
  <c r="T23" i="12"/>
  <c r="T24" i="12"/>
  <c r="T25" i="12"/>
  <c r="T26" i="12"/>
  <c r="T27" i="12"/>
  <c r="T28" i="12"/>
  <c r="T29" i="12"/>
  <c r="T30" i="12"/>
  <c r="T31" i="12"/>
  <c r="T32" i="12"/>
  <c r="T33" i="12"/>
  <c r="T34" i="12"/>
  <c r="T35" i="12"/>
  <c r="T36" i="12"/>
  <c r="T37" i="12"/>
  <c r="T38" i="12"/>
  <c r="T39" i="12"/>
  <c r="T40" i="12"/>
  <c r="T41" i="12"/>
  <c r="T42" i="12"/>
  <c r="T43" i="12"/>
  <c r="T44" i="12"/>
  <c r="T45" i="12"/>
  <c r="T46" i="12"/>
  <c r="T47" i="12"/>
  <c r="T48" i="12"/>
  <c r="T49" i="12"/>
  <c r="T50" i="12"/>
  <c r="T51" i="12"/>
  <c r="T52" i="12"/>
  <c r="T53" i="12"/>
  <c r="T54" i="12"/>
  <c r="T55" i="12"/>
  <c r="T56" i="12"/>
  <c r="T57" i="12"/>
  <c r="T58" i="12"/>
  <c r="T59" i="12"/>
  <c r="T60" i="12"/>
  <c r="T61" i="12"/>
  <c r="T62" i="12"/>
  <c r="T63" i="12"/>
  <c r="T64" i="12"/>
  <c r="T65" i="12"/>
  <c r="T66" i="12"/>
  <c r="T67" i="12"/>
  <c r="T68" i="12"/>
  <c r="T69" i="12"/>
  <c r="T70" i="12"/>
  <c r="T71" i="12"/>
  <c r="T72" i="12"/>
  <c r="T73" i="12"/>
  <c r="T74" i="12"/>
  <c r="T75" i="12"/>
  <c r="T76" i="12"/>
  <c r="T77" i="12"/>
  <c r="T78" i="12"/>
  <c r="T79" i="12"/>
  <c r="T80" i="12"/>
  <c r="T81" i="12"/>
  <c r="T82" i="12"/>
  <c r="T83" i="12"/>
  <c r="T84" i="12"/>
  <c r="T85" i="12"/>
  <c r="T86" i="12"/>
  <c r="T87" i="12"/>
  <c r="T88" i="12"/>
  <c r="T89" i="12"/>
  <c r="T90" i="12"/>
  <c r="T91" i="12"/>
  <c r="T92" i="12"/>
  <c r="T93" i="12"/>
  <c r="T94" i="12"/>
  <c r="T95" i="12"/>
  <c r="T96" i="12"/>
  <c r="T97" i="12"/>
  <c r="T98" i="12"/>
  <c r="T99" i="12"/>
  <c r="T100" i="12"/>
  <c r="T101" i="12"/>
  <c r="T102" i="12"/>
  <c r="T103" i="12"/>
  <c r="T104" i="12"/>
  <c r="T105" i="12"/>
  <c r="T106" i="12"/>
  <c r="T107" i="12"/>
  <c r="T108" i="12"/>
  <c r="T109" i="12"/>
  <c r="T110" i="12"/>
  <c r="T111" i="12"/>
  <c r="T112" i="12"/>
  <c r="T113" i="12"/>
  <c r="T114" i="12"/>
  <c r="T115" i="12"/>
  <c r="T116" i="12"/>
  <c r="T117" i="12"/>
  <c r="T118" i="12"/>
  <c r="T119" i="12"/>
  <c r="T21" i="12"/>
  <c r="S21"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20" i="12"/>
  <c r="F21" i="12" s="1"/>
  <c r="F22" i="12" s="1"/>
  <c r="F23" i="12" s="1"/>
  <c r="F24" i="12" s="1"/>
  <c r="F25" i="12" s="1"/>
  <c r="F26" i="12" s="1"/>
  <c r="F27" i="12" s="1"/>
  <c r="F28" i="12" s="1"/>
  <c r="F29" i="12" s="1"/>
  <c r="F30" i="12" s="1"/>
  <c r="F31" i="12" s="1"/>
  <c r="F32" i="12" s="1"/>
  <c r="F33" i="12" s="1"/>
  <c r="F34" i="12" s="1"/>
  <c r="F35" i="12" s="1"/>
  <c r="F36" i="12" s="1"/>
  <c r="F37" i="12" s="1"/>
  <c r="F38" i="12" s="1"/>
  <c r="F39" i="12" s="1"/>
  <c r="F40" i="12" s="1"/>
  <c r="F41" i="12" s="1"/>
  <c r="F42" i="12" s="1"/>
  <c r="F43" i="12" s="1"/>
  <c r="F44" i="12" s="1"/>
  <c r="C20" i="12"/>
  <c r="C21" i="12" s="1"/>
  <c r="C22" i="12" s="1"/>
  <c r="C23" i="12" s="1"/>
  <c r="C24" i="12" s="1"/>
  <c r="C25" i="12" s="1"/>
  <c r="C26" i="12" s="1"/>
  <c r="C27" i="12" s="1"/>
  <c r="C28" i="12" s="1"/>
  <c r="C29" i="12" s="1"/>
  <c r="C30" i="12" s="1"/>
  <c r="C31" i="12" s="1"/>
  <c r="C32" i="12" s="1"/>
  <c r="C33" i="12" s="1"/>
  <c r="C34" i="12" s="1"/>
  <c r="C35" i="12" s="1"/>
  <c r="C36" i="12" s="1"/>
  <c r="C37" i="12" s="1"/>
  <c r="C38" i="12" s="1"/>
  <c r="C39" i="12" s="1"/>
  <c r="C40" i="12" s="1"/>
  <c r="C41" i="12" s="1"/>
  <c r="C42" i="12" s="1"/>
  <c r="C43" i="12" s="1"/>
  <c r="C44" i="12" s="1"/>
  <c r="C45" i="12" s="1"/>
  <c r="C46" i="12" s="1"/>
  <c r="C47" i="12" s="1"/>
  <c r="C48" i="12" s="1"/>
  <c r="C49" i="12" s="1"/>
  <c r="C50" i="12" s="1"/>
  <c r="C51" i="12" s="1"/>
  <c r="C52" i="12" s="1"/>
  <c r="C53" i="12" s="1"/>
  <c r="C54" i="12" s="1"/>
  <c r="C55" i="12" s="1"/>
  <c r="C56" i="12" s="1"/>
  <c r="C57" i="12" s="1"/>
  <c r="C58" i="12" s="1"/>
  <c r="C59" i="12" s="1"/>
  <c r="C60" i="12" s="1"/>
  <c r="C61" i="12" s="1"/>
  <c r="C62" i="12" s="1"/>
  <c r="C63" i="12" s="1"/>
  <c r="C64" i="12" s="1"/>
  <c r="C65" i="12" s="1"/>
  <c r="C66" i="12" s="1"/>
  <c r="C67" i="12" s="1"/>
  <c r="C68" i="12" s="1"/>
  <c r="C69" i="12" s="1"/>
  <c r="C70" i="12" s="1"/>
  <c r="C71" i="12" s="1"/>
  <c r="C72" i="12" s="1"/>
  <c r="C73" i="12" s="1"/>
  <c r="C74" i="12" s="1"/>
  <c r="C75" i="12" s="1"/>
  <c r="C76" i="12" s="1"/>
  <c r="C77" i="12" s="1"/>
  <c r="C78" i="12" s="1"/>
  <c r="C79" i="12" s="1"/>
  <c r="C80" i="12" s="1"/>
  <c r="C81" i="12" s="1"/>
  <c r="C82" i="12" s="1"/>
  <c r="C83" i="12" s="1"/>
  <c r="C84" i="12" s="1"/>
  <c r="C85" i="12" s="1"/>
  <c r="C86" i="12" s="1"/>
  <c r="C87" i="12" s="1"/>
  <c r="C88" i="12" s="1"/>
  <c r="C89" i="12" s="1"/>
  <c r="C90" i="12" s="1"/>
  <c r="C91" i="12" s="1"/>
  <c r="C92" i="12" s="1"/>
  <c r="C93" i="12" s="1"/>
  <c r="C94" i="12" s="1"/>
  <c r="C95" i="12" s="1"/>
  <c r="C96" i="12" s="1"/>
  <c r="C97" i="12" s="1"/>
  <c r="C98" i="12" s="1"/>
  <c r="C99" i="12" s="1"/>
  <c r="C100" i="12" s="1"/>
  <c r="C101" i="12" s="1"/>
  <c r="C102" i="12" s="1"/>
  <c r="C103" i="12" s="1"/>
  <c r="C104" i="12" s="1"/>
  <c r="C105" i="12" s="1"/>
  <c r="C106" i="12" s="1"/>
  <c r="C107" i="12" s="1"/>
  <c r="C108" i="12" s="1"/>
  <c r="C109" i="12" s="1"/>
  <c r="C110" i="12" s="1"/>
  <c r="C111" i="12" s="1"/>
  <c r="C112" i="12" s="1"/>
  <c r="C113" i="12" s="1"/>
  <c r="C114" i="12" s="1"/>
  <c r="C115" i="12" s="1"/>
  <c r="C116" i="12" s="1"/>
  <c r="C117" i="12" s="1"/>
  <c r="C118" i="12" s="1"/>
  <c r="C119" i="12" s="1"/>
  <c r="Y24" i="29" l="1"/>
  <c r="W25" i="29"/>
  <c r="M23" i="29"/>
  <c r="E33" i="8"/>
  <c r="F33" i="8"/>
  <c r="T23" i="29"/>
  <c r="U23" i="29" s="1"/>
  <c r="Q25" i="29"/>
  <c r="K24" i="29"/>
  <c r="K25" i="29" s="1"/>
  <c r="T25" i="29" s="1"/>
  <c r="E41" i="10"/>
  <c r="G41" i="10" s="1"/>
  <c r="I41" i="10" s="1"/>
  <c r="N33" i="8"/>
  <c r="L33" i="8"/>
  <c r="J33" i="8"/>
  <c r="B34" i="8"/>
  <c r="J26" i="29"/>
  <c r="R25" i="29"/>
  <c r="S25" i="29" s="1"/>
  <c r="C41" i="10"/>
  <c r="B42" i="10"/>
  <c r="Q25" i="28"/>
  <c r="K25" i="28" s="1"/>
  <c r="R25" i="28"/>
  <c r="S25" i="28" s="1"/>
  <c r="J26" i="28"/>
  <c r="Y23" i="29"/>
  <c r="X23" i="29"/>
  <c r="U25" i="28"/>
  <c r="V24" i="28"/>
  <c r="AA15" i="20"/>
  <c r="Z16" i="20"/>
  <c r="S18" i="20"/>
  <c r="X17" i="20"/>
  <c r="U17" i="20"/>
  <c r="V17" i="20"/>
  <c r="T17" i="20"/>
  <c r="N20" i="12"/>
  <c r="X24" i="29" l="1"/>
  <c r="X25" i="29" s="1"/>
  <c r="W26" i="29"/>
  <c r="Y25" i="29"/>
  <c r="E34" i="8"/>
  <c r="F34" i="8"/>
  <c r="T24" i="29"/>
  <c r="U24" i="29" s="1"/>
  <c r="M24" i="29"/>
  <c r="M25" i="29" s="1"/>
  <c r="R26" i="29"/>
  <c r="S26" i="29" s="1"/>
  <c r="E42" i="10"/>
  <c r="G42" i="10" s="1"/>
  <c r="I42" i="10" s="1"/>
  <c r="J34" i="8"/>
  <c r="N34" i="8"/>
  <c r="L34" i="8"/>
  <c r="B35" i="8"/>
  <c r="J27" i="29"/>
  <c r="Q26" i="29"/>
  <c r="K26" i="29" s="1"/>
  <c r="C42" i="10"/>
  <c r="B43" i="10"/>
  <c r="Q26" i="28"/>
  <c r="K26" i="28" s="1"/>
  <c r="R26" i="28"/>
  <c r="S26" i="28" s="1"/>
  <c r="J27" i="28"/>
  <c r="V25" i="28"/>
  <c r="U26" i="28"/>
  <c r="AA16" i="20"/>
  <c r="X18" i="20"/>
  <c r="Y18" i="20" s="1"/>
  <c r="T18" i="20"/>
  <c r="V18" i="20"/>
  <c r="W18" i="20" s="1"/>
  <c r="U18" i="20"/>
  <c r="Y17" i="20"/>
  <c r="W17" i="20"/>
  <c r="S19" i="20"/>
  <c r="D21" i="12"/>
  <c r="J21" i="12"/>
  <c r="Y26" i="29" l="1"/>
  <c r="W27" i="29"/>
  <c r="X26" i="29"/>
  <c r="U25" i="29"/>
  <c r="E35" i="8"/>
  <c r="F35" i="8"/>
  <c r="E43" i="10"/>
  <c r="G43" i="10" s="1"/>
  <c r="I43" i="10" s="1"/>
  <c r="L35" i="8"/>
  <c r="J35" i="8"/>
  <c r="N35" i="8"/>
  <c r="B36" i="8"/>
  <c r="Q27" i="29"/>
  <c r="K27" i="29" s="1"/>
  <c r="J28" i="29"/>
  <c r="R27" i="29"/>
  <c r="S27" i="29" s="1"/>
  <c r="M26" i="29"/>
  <c r="T26" i="29"/>
  <c r="U26" i="29" s="1"/>
  <c r="C43" i="10"/>
  <c r="B44" i="10"/>
  <c r="Q27" i="28"/>
  <c r="K27" i="28" s="1"/>
  <c r="R27" i="28"/>
  <c r="S27" i="28" s="1"/>
  <c r="J28" i="28"/>
  <c r="V26" i="28"/>
  <c r="U27" i="28"/>
  <c r="U19" i="20"/>
  <c r="Z18" i="20"/>
  <c r="X19" i="20"/>
  <c r="Y19" i="20" s="1"/>
  <c r="Z17" i="20"/>
  <c r="AA17" i="20" s="1"/>
  <c r="S20" i="20"/>
  <c r="T19" i="20"/>
  <c r="V19" i="20"/>
  <c r="W19" i="20" s="1"/>
  <c r="L21" i="12"/>
  <c r="H22" i="12" s="1"/>
  <c r="X27" i="29" l="1"/>
  <c r="W28" i="29"/>
  <c r="Y27" i="29"/>
  <c r="E36" i="8"/>
  <c r="F36" i="8"/>
  <c r="E44" i="10"/>
  <c r="G44" i="10" s="1"/>
  <c r="I44" i="10" s="1"/>
  <c r="T27" i="29"/>
  <c r="U27" i="29" s="1"/>
  <c r="N36" i="8"/>
  <c r="L36" i="8"/>
  <c r="J36" i="8"/>
  <c r="B37" i="8"/>
  <c r="M27" i="29"/>
  <c r="Q28" i="29"/>
  <c r="K28" i="29" s="1"/>
  <c r="R28" i="29"/>
  <c r="S28" i="29" s="1"/>
  <c r="J29" i="29"/>
  <c r="C44" i="10"/>
  <c r="B45" i="10"/>
  <c r="Q28" i="28"/>
  <c r="K28" i="28" s="1"/>
  <c r="R28" i="28"/>
  <c r="S28" i="28" s="1"/>
  <c r="J29" i="28"/>
  <c r="U28" i="28"/>
  <c r="V27" i="28"/>
  <c r="AA18" i="20"/>
  <c r="X20" i="20"/>
  <c r="Y20" i="20" s="1"/>
  <c r="Z19" i="20"/>
  <c r="V20" i="20"/>
  <c r="S21" i="20"/>
  <c r="T20" i="20"/>
  <c r="U20" i="20"/>
  <c r="N21" i="12"/>
  <c r="S22" i="12"/>
  <c r="Q21" i="12"/>
  <c r="E45" i="10" l="1"/>
  <c r="G45" i="10" s="1"/>
  <c r="I45" i="10" s="1"/>
  <c r="Y28" i="29"/>
  <c r="X28" i="29"/>
  <c r="Y1" i="29" s="1"/>
  <c r="Y2" i="29" s="1"/>
  <c r="E37" i="8"/>
  <c r="F37" i="8"/>
  <c r="N37" i="8"/>
  <c r="L37" i="8"/>
  <c r="J37" i="8"/>
  <c r="B38" i="8"/>
  <c r="T28" i="29"/>
  <c r="U28" i="29" s="1"/>
  <c r="M28" i="29"/>
  <c r="Q29" i="29"/>
  <c r="K29" i="29" s="1"/>
  <c r="R29" i="29"/>
  <c r="S29" i="29" s="1"/>
  <c r="J30" i="29"/>
  <c r="C45" i="10"/>
  <c r="B46" i="10"/>
  <c r="Q29" i="28"/>
  <c r="K29" i="28" s="1"/>
  <c r="R29" i="28"/>
  <c r="S29" i="28" s="1"/>
  <c r="J30" i="28"/>
  <c r="U29" i="28"/>
  <c r="V28" i="28"/>
  <c r="AA19" i="20"/>
  <c r="S22" i="20"/>
  <c r="U21" i="20"/>
  <c r="V21" i="20"/>
  <c r="W21" i="20" s="1"/>
  <c r="T21" i="20"/>
  <c r="X21" i="20"/>
  <c r="Y21" i="20" s="1"/>
  <c r="W20" i="20"/>
  <c r="Z20" i="20" s="1"/>
  <c r="D22" i="12"/>
  <c r="J22" i="12"/>
  <c r="E46" i="10" l="1"/>
  <c r="G46" i="10" s="1"/>
  <c r="I46" i="10" s="1"/>
  <c r="E38" i="8"/>
  <c r="F38" i="8"/>
  <c r="J31" i="29"/>
  <c r="R30" i="29"/>
  <c r="S30" i="29" s="1"/>
  <c r="J38" i="8"/>
  <c r="N38" i="8"/>
  <c r="L38" i="8"/>
  <c r="B39" i="8"/>
  <c r="Q30" i="29"/>
  <c r="T29" i="29"/>
  <c r="U29" i="29" s="1"/>
  <c r="D21" i="29" s="1"/>
  <c r="D23" i="29" s="1"/>
  <c r="M29" i="29"/>
  <c r="C46" i="10"/>
  <c r="B47" i="10"/>
  <c r="Q30" i="28"/>
  <c r="K30" i="28"/>
  <c r="R30" i="28"/>
  <c r="S30" i="28" s="1"/>
  <c r="J31" i="28"/>
  <c r="U30" i="28"/>
  <c r="V29" i="28"/>
  <c r="AA20" i="20"/>
  <c r="T22" i="20"/>
  <c r="U22" i="20"/>
  <c r="X22" i="20"/>
  <c r="Z21" i="20"/>
  <c r="S23" i="20"/>
  <c r="V22" i="20"/>
  <c r="L22" i="12"/>
  <c r="H23" i="12" s="1"/>
  <c r="E47" i="10" l="1"/>
  <c r="G47" i="10" s="1"/>
  <c r="I47" i="10" s="1"/>
  <c r="K30" i="29"/>
  <c r="M30" i="29" s="1"/>
  <c r="E39" i="8"/>
  <c r="F39" i="8"/>
  <c r="J32" i="29"/>
  <c r="R31" i="29"/>
  <c r="S31" i="29" s="1"/>
  <c r="Q31" i="29"/>
  <c r="K31" i="29" s="1"/>
  <c r="L39" i="8"/>
  <c r="J39" i="8"/>
  <c r="N39" i="8"/>
  <c r="B40" i="8"/>
  <c r="C47" i="10"/>
  <c r="B48" i="10"/>
  <c r="E48" i="10" s="1"/>
  <c r="G48" i="10" s="1"/>
  <c r="I48" i="10" s="1"/>
  <c r="Q31" i="28"/>
  <c r="K31" i="28"/>
  <c r="R31" i="28"/>
  <c r="S31" i="28" s="1"/>
  <c r="J32" i="28"/>
  <c r="AA21" i="20"/>
  <c r="U31" i="28"/>
  <c r="V30" i="28"/>
  <c r="S24" i="20"/>
  <c r="V23" i="20"/>
  <c r="T23" i="20"/>
  <c r="X23" i="20"/>
  <c r="W22" i="20"/>
  <c r="U23" i="20"/>
  <c r="Y22" i="20"/>
  <c r="S23" i="12"/>
  <c r="N22" i="12"/>
  <c r="Q22" i="12"/>
  <c r="T31" i="29" l="1"/>
  <c r="M31" i="29"/>
  <c r="T30" i="29"/>
  <c r="U30" i="29" s="1"/>
  <c r="E40" i="8"/>
  <c r="F40" i="8"/>
  <c r="R32" i="29"/>
  <c r="S32" i="29" s="1"/>
  <c r="J33" i="29"/>
  <c r="Q32" i="29"/>
  <c r="K32" i="29" s="1"/>
  <c r="N40" i="8"/>
  <c r="L40" i="8"/>
  <c r="J40" i="8"/>
  <c r="B41" i="8"/>
  <c r="C48" i="10"/>
  <c r="B49" i="10"/>
  <c r="E49" i="10" s="1"/>
  <c r="G49" i="10" s="1"/>
  <c r="I49" i="10" s="1"/>
  <c r="Q32" i="28"/>
  <c r="K32" i="28"/>
  <c r="R32" i="28"/>
  <c r="S32" i="28" s="1"/>
  <c r="J33" i="28"/>
  <c r="V31" i="28"/>
  <c r="U32" i="28"/>
  <c r="V24" i="20"/>
  <c r="W24" i="20" s="1"/>
  <c r="U24" i="20"/>
  <c r="X24" i="20"/>
  <c r="Y24" i="20" s="1"/>
  <c r="Y23" i="20"/>
  <c r="Z22" i="20"/>
  <c r="AA22" i="20" s="1"/>
  <c r="W23" i="20"/>
  <c r="S25" i="20"/>
  <c r="T24" i="20"/>
  <c r="J23" i="12"/>
  <c r="D23" i="12"/>
  <c r="U31" i="29" l="1"/>
  <c r="M32" i="29"/>
  <c r="T32" i="29"/>
  <c r="E41" i="8"/>
  <c r="F41" i="8"/>
  <c r="Q33" i="29"/>
  <c r="K33" i="29" s="1"/>
  <c r="J34" i="29"/>
  <c r="R33" i="29"/>
  <c r="S33" i="29" s="1"/>
  <c r="N41" i="8"/>
  <c r="L41" i="8"/>
  <c r="J41" i="8"/>
  <c r="B42" i="8"/>
  <c r="C49" i="10"/>
  <c r="B50" i="10"/>
  <c r="E50" i="10" s="1"/>
  <c r="G50" i="10" s="1"/>
  <c r="I50" i="10" s="1"/>
  <c r="Q33" i="28"/>
  <c r="K33" i="28"/>
  <c r="R33" i="28"/>
  <c r="S33" i="28" s="1"/>
  <c r="J34" i="28"/>
  <c r="U33" i="28"/>
  <c r="V32" i="28"/>
  <c r="U25" i="20"/>
  <c r="Z23" i="20"/>
  <c r="AA23" i="20" s="1"/>
  <c r="Z24" i="20"/>
  <c r="T25" i="20"/>
  <c r="S26" i="20"/>
  <c r="X25" i="20"/>
  <c r="Y25" i="20" s="1"/>
  <c r="V25" i="20"/>
  <c r="W25" i="20" s="1"/>
  <c r="L23" i="12"/>
  <c r="U32" i="29" l="1"/>
  <c r="T33" i="29"/>
  <c r="M33" i="29"/>
  <c r="E42" i="8"/>
  <c r="F42" i="8"/>
  <c r="Q34" i="29"/>
  <c r="K34" i="29" s="1"/>
  <c r="J35" i="29"/>
  <c r="R34" i="29"/>
  <c r="S34" i="29" s="1"/>
  <c r="J42" i="8"/>
  <c r="N42" i="8"/>
  <c r="L42" i="8"/>
  <c r="S24" i="12"/>
  <c r="H24" i="12"/>
  <c r="J24" i="12" s="1"/>
  <c r="C50" i="10"/>
  <c r="B51" i="10"/>
  <c r="E51" i="10" s="1"/>
  <c r="G51" i="10" s="1"/>
  <c r="I51" i="10" s="1"/>
  <c r="Q34" i="28"/>
  <c r="K34" i="28"/>
  <c r="R34" i="28"/>
  <c r="S34" i="28" s="1"/>
  <c r="J35" i="28"/>
  <c r="R35" i="29"/>
  <c r="S35" i="29" s="1"/>
  <c r="U34" i="28"/>
  <c r="V33" i="28"/>
  <c r="AA24" i="20"/>
  <c r="Z25" i="20"/>
  <c r="S27" i="20"/>
  <c r="X26" i="20"/>
  <c r="T26" i="20"/>
  <c r="V26" i="20"/>
  <c r="W26" i="20" s="1"/>
  <c r="U26" i="20"/>
  <c r="N23" i="12"/>
  <c r="D24" i="12" s="1"/>
  <c r="Q23" i="12"/>
  <c r="U33" i="29" l="1"/>
  <c r="M34" i="29"/>
  <c r="T34" i="29"/>
  <c r="Q35" i="29"/>
  <c r="K35" i="29" s="1"/>
  <c r="J36" i="29"/>
  <c r="C51" i="10"/>
  <c r="B52" i="10"/>
  <c r="E52" i="10" s="1"/>
  <c r="G52" i="10" s="1"/>
  <c r="I52" i="10" s="1"/>
  <c r="Q35" i="28"/>
  <c r="K35" i="28"/>
  <c r="R35" i="28"/>
  <c r="S35" i="28" s="1"/>
  <c r="J36" i="28"/>
  <c r="V34" i="28"/>
  <c r="U35" i="28"/>
  <c r="T27" i="20"/>
  <c r="U27" i="20"/>
  <c r="AA25" i="20"/>
  <c r="X27" i="20"/>
  <c r="Y27" i="20" s="1"/>
  <c r="V27" i="20"/>
  <c r="W27" i="20" s="1"/>
  <c r="Y26" i="20"/>
  <c r="Z26" i="20" s="1"/>
  <c r="S28" i="20"/>
  <c r="L24" i="12"/>
  <c r="U34" i="29" l="1"/>
  <c r="T35" i="29"/>
  <c r="M35" i="29"/>
  <c r="R36" i="29"/>
  <c r="S36" i="29" s="1"/>
  <c r="Q36" i="29"/>
  <c r="K36" i="29" s="1"/>
  <c r="J37" i="29"/>
  <c r="Q37" i="29" s="1"/>
  <c r="S25" i="12"/>
  <c r="H25" i="12"/>
  <c r="J25" i="12" s="1"/>
  <c r="C52" i="10"/>
  <c r="B53" i="10"/>
  <c r="E53" i="10" s="1"/>
  <c r="G53" i="10" s="1"/>
  <c r="I53" i="10" s="1"/>
  <c r="Q36" i="28"/>
  <c r="K36" i="28"/>
  <c r="R36" i="28"/>
  <c r="S36" i="28" s="1"/>
  <c r="J37" i="28"/>
  <c r="V35" i="28"/>
  <c r="U36" i="28"/>
  <c r="AA26" i="20"/>
  <c r="V28" i="20"/>
  <c r="W28" i="20" s="1"/>
  <c r="U28" i="20"/>
  <c r="Z27" i="20"/>
  <c r="S29" i="20"/>
  <c r="X28" i="20"/>
  <c r="T28" i="20"/>
  <c r="N24" i="12"/>
  <c r="D25" i="12" s="1"/>
  <c r="Q24" i="12"/>
  <c r="U35" i="29" l="1"/>
  <c r="M36" i="29"/>
  <c r="T36" i="29"/>
  <c r="R37" i="29"/>
  <c r="S37" i="29" s="1"/>
  <c r="J38" i="29"/>
  <c r="J39" i="29" s="1"/>
  <c r="K37" i="29"/>
  <c r="T37" i="29" s="1"/>
  <c r="C53" i="10"/>
  <c r="B54" i="10"/>
  <c r="E54" i="10" s="1"/>
  <c r="G54" i="10" s="1"/>
  <c r="I54" i="10" s="1"/>
  <c r="Q37" i="28"/>
  <c r="K37" i="28"/>
  <c r="R37" i="28"/>
  <c r="S37" i="28" s="1"/>
  <c r="J38" i="28"/>
  <c r="U37" i="28"/>
  <c r="V36" i="28"/>
  <c r="AA27" i="20"/>
  <c r="U29" i="20"/>
  <c r="T29" i="20"/>
  <c r="V29" i="20"/>
  <c r="W29" i="20" s="1"/>
  <c r="X29" i="20"/>
  <c r="Y29" i="20" s="1"/>
  <c r="Y28" i="20"/>
  <c r="Z28" i="20" s="1"/>
  <c r="S30" i="20"/>
  <c r="L25" i="12"/>
  <c r="M37" i="29" l="1"/>
  <c r="U36" i="29"/>
  <c r="U37" i="29" s="1"/>
  <c r="R38" i="29"/>
  <c r="S38" i="29" s="1"/>
  <c r="Q38" i="29"/>
  <c r="K38" i="29" s="1"/>
  <c r="S26" i="12"/>
  <c r="H26" i="12"/>
  <c r="J26" i="12" s="1"/>
  <c r="C54" i="10"/>
  <c r="B55" i="10"/>
  <c r="E55" i="10" s="1"/>
  <c r="G55" i="10" s="1"/>
  <c r="I55" i="10" s="1"/>
  <c r="Q38" i="28"/>
  <c r="K38" i="28"/>
  <c r="R38" i="28"/>
  <c r="S38" i="28" s="1"/>
  <c r="J39" i="28"/>
  <c r="Q39" i="29"/>
  <c r="K39" i="29" s="1"/>
  <c r="R39" i="29"/>
  <c r="S39" i="29" s="1"/>
  <c r="J40" i="29"/>
  <c r="K40" i="29" s="1"/>
  <c r="AA28" i="20"/>
  <c r="V37" i="28"/>
  <c r="U38" i="28"/>
  <c r="T30" i="20"/>
  <c r="Z29" i="20"/>
  <c r="V30" i="20"/>
  <c r="W30" i="20" s="1"/>
  <c r="S31" i="20"/>
  <c r="X30" i="20"/>
  <c r="Y30" i="20" s="1"/>
  <c r="U30" i="20"/>
  <c r="N25" i="12"/>
  <c r="D26" i="12" s="1"/>
  <c r="Q25" i="12"/>
  <c r="T38" i="29" l="1"/>
  <c r="U38" i="29" s="1"/>
  <c r="M38" i="29"/>
  <c r="M39" i="29" s="1"/>
  <c r="F21" i="29" s="1"/>
  <c r="F23" i="29" s="1"/>
  <c r="C55" i="10"/>
  <c r="B56" i="10"/>
  <c r="E56" i="10" s="1"/>
  <c r="G56" i="10" s="1"/>
  <c r="I56" i="10" s="1"/>
  <c r="Q39" i="28"/>
  <c r="K39" i="28"/>
  <c r="R39" i="28"/>
  <c r="S39" i="28" s="1"/>
  <c r="J40" i="28"/>
  <c r="T39" i="29"/>
  <c r="Q40" i="29"/>
  <c r="R40" i="29"/>
  <c r="S40" i="29" s="1"/>
  <c r="J41" i="29"/>
  <c r="K41" i="29" s="1"/>
  <c r="AA29" i="20"/>
  <c r="U39" i="28"/>
  <c r="V38" i="28"/>
  <c r="Z30" i="20"/>
  <c r="S32" i="20"/>
  <c r="Y31" i="20"/>
  <c r="AA31" i="20"/>
  <c r="W31" i="20"/>
  <c r="V31" i="20"/>
  <c r="Z31" i="20"/>
  <c r="X31" i="20"/>
  <c r="U31" i="20"/>
  <c r="T31" i="20"/>
  <c r="L26" i="12"/>
  <c r="U39" i="29" l="1"/>
  <c r="S27" i="12"/>
  <c r="H27" i="12"/>
  <c r="J27" i="12" s="1"/>
  <c r="C56" i="10"/>
  <c r="B57" i="10"/>
  <c r="E57" i="10" s="1"/>
  <c r="G57" i="10" s="1"/>
  <c r="I57" i="10" s="1"/>
  <c r="Q40" i="28"/>
  <c r="K40" i="28"/>
  <c r="R40" i="28"/>
  <c r="S40" i="28" s="1"/>
  <c r="J41" i="28"/>
  <c r="M40" i="29"/>
  <c r="T40" i="29"/>
  <c r="Q41" i="29"/>
  <c r="R41" i="29"/>
  <c r="S41" i="29" s="1"/>
  <c r="J42" i="29"/>
  <c r="K42" i="29" s="1"/>
  <c r="AA30" i="20"/>
  <c r="U32" i="20"/>
  <c r="U40" i="28"/>
  <c r="V39" i="28"/>
  <c r="T32" i="20"/>
  <c r="S33" i="20"/>
  <c r="X32" i="20"/>
  <c r="Z32" i="20"/>
  <c r="Y32" i="20"/>
  <c r="V32" i="20"/>
  <c r="AA32" i="20"/>
  <c r="W32" i="20"/>
  <c r="N26" i="12"/>
  <c r="D27" i="12" s="1"/>
  <c r="Q26" i="12"/>
  <c r="U40" i="29" l="1"/>
  <c r="C57" i="10"/>
  <c r="B58" i="10"/>
  <c r="E58" i="10" s="1"/>
  <c r="G58" i="10" s="1"/>
  <c r="I58" i="10" s="1"/>
  <c r="Q41" i="28"/>
  <c r="K41" i="28"/>
  <c r="R41" i="28"/>
  <c r="S41" i="28" s="1"/>
  <c r="J42" i="28"/>
  <c r="M41" i="29"/>
  <c r="T41" i="29"/>
  <c r="Q42" i="29"/>
  <c r="R42" i="29"/>
  <c r="S42" i="29" s="1"/>
  <c r="J43" i="29"/>
  <c r="K43" i="29" s="1"/>
  <c r="V40" i="28"/>
  <c r="U41" i="28"/>
  <c r="S34" i="20"/>
  <c r="Z33" i="20"/>
  <c r="Y33" i="20"/>
  <c r="X33" i="20"/>
  <c r="V33" i="20"/>
  <c r="AA33" i="20"/>
  <c r="W33" i="20"/>
  <c r="U33" i="20"/>
  <c r="T33" i="20"/>
  <c r="L27" i="12"/>
  <c r="U41" i="29" l="1"/>
  <c r="S28" i="12"/>
  <c r="H28" i="12"/>
  <c r="J28" i="12" s="1"/>
  <c r="C58" i="10"/>
  <c r="B59" i="10"/>
  <c r="E59" i="10" s="1"/>
  <c r="G59" i="10" s="1"/>
  <c r="I59" i="10" s="1"/>
  <c r="Q42" i="28"/>
  <c r="K42" i="28"/>
  <c r="R42" i="28"/>
  <c r="S42" i="28" s="1"/>
  <c r="J43" i="28"/>
  <c r="M42" i="29"/>
  <c r="T42" i="29"/>
  <c r="U42" i="29" s="1"/>
  <c r="Q43" i="29"/>
  <c r="R43" i="29"/>
  <c r="S43" i="29" s="1"/>
  <c r="J44" i="29"/>
  <c r="K44" i="29" s="1"/>
  <c r="V41" i="28"/>
  <c r="U42" i="28"/>
  <c r="T34" i="20"/>
  <c r="U34" i="20"/>
  <c r="S35" i="20"/>
  <c r="T35" i="20" s="1"/>
  <c r="X34" i="20"/>
  <c r="AA34" i="20"/>
  <c r="Z34" i="20"/>
  <c r="Y34" i="20"/>
  <c r="V34" i="20"/>
  <c r="W34" i="20"/>
  <c r="N27" i="12"/>
  <c r="D28" i="12" s="1"/>
  <c r="Q27" i="12"/>
  <c r="C59" i="10" l="1"/>
  <c r="B60" i="10"/>
  <c r="E60" i="10" s="1"/>
  <c r="G60" i="10" s="1"/>
  <c r="I60" i="10" s="1"/>
  <c r="Q43" i="28"/>
  <c r="K43" i="28"/>
  <c r="R43" i="28"/>
  <c r="S43" i="28" s="1"/>
  <c r="J44" i="28"/>
  <c r="M43" i="29"/>
  <c r="T43" i="29"/>
  <c r="U43" i="29" s="1"/>
  <c r="Q44" i="29"/>
  <c r="R44" i="29"/>
  <c r="S44" i="29" s="1"/>
  <c r="J45" i="29"/>
  <c r="K45" i="29" s="1"/>
  <c r="U43" i="28"/>
  <c r="V42" i="28"/>
  <c r="U35" i="20"/>
  <c r="S36" i="20"/>
  <c r="U36" i="20" s="1"/>
  <c r="AA35" i="20"/>
  <c r="W35" i="20"/>
  <c r="Z35" i="20"/>
  <c r="X35" i="20"/>
  <c r="Y35" i="20"/>
  <c r="V35" i="20"/>
  <c r="L28" i="12"/>
  <c r="S29" i="12" l="1"/>
  <c r="H29" i="12"/>
  <c r="J29" i="12" s="1"/>
  <c r="C60" i="10"/>
  <c r="B61" i="10"/>
  <c r="E61" i="10" s="1"/>
  <c r="G61" i="10" s="1"/>
  <c r="I61" i="10" s="1"/>
  <c r="Q44" i="28"/>
  <c r="K44" i="28"/>
  <c r="R44" i="28"/>
  <c r="S44" i="28" s="1"/>
  <c r="J45" i="28"/>
  <c r="M44" i="29"/>
  <c r="T44" i="29"/>
  <c r="U44" i="29" s="1"/>
  <c r="Q45" i="29"/>
  <c r="R45" i="29"/>
  <c r="S45" i="29" s="1"/>
  <c r="J46" i="29"/>
  <c r="K46" i="29" s="1"/>
  <c r="V43" i="28"/>
  <c r="U44" i="28"/>
  <c r="T36" i="20"/>
  <c r="S37" i="20"/>
  <c r="V36" i="20"/>
  <c r="Y36" i="20"/>
  <c r="AA36" i="20"/>
  <c r="W36" i="20"/>
  <c r="Z36" i="20"/>
  <c r="X36" i="20"/>
  <c r="N28" i="12"/>
  <c r="D29" i="12" s="1"/>
  <c r="Q28" i="12"/>
  <c r="C61" i="10" l="1"/>
  <c r="B62" i="10"/>
  <c r="E62" i="10" s="1"/>
  <c r="G62" i="10" s="1"/>
  <c r="I62" i="10" s="1"/>
  <c r="Q45" i="28"/>
  <c r="K45" i="28"/>
  <c r="R45" i="28"/>
  <c r="S45" i="28" s="1"/>
  <c r="J46" i="28"/>
  <c r="T45" i="29"/>
  <c r="U45" i="29" s="1"/>
  <c r="M45" i="29"/>
  <c r="R46" i="29"/>
  <c r="S46" i="29" s="1"/>
  <c r="Q46" i="29"/>
  <c r="J47" i="29"/>
  <c r="K47" i="29" s="1"/>
  <c r="U45" i="28"/>
  <c r="V44" i="28"/>
  <c r="S38" i="20"/>
  <c r="Y37" i="20"/>
  <c r="AA37" i="20"/>
  <c r="W37" i="20"/>
  <c r="V37" i="20"/>
  <c r="Z37" i="20"/>
  <c r="X37" i="20"/>
  <c r="U37" i="20"/>
  <c r="T37" i="20"/>
  <c r="L29" i="12"/>
  <c r="S30" i="12" l="1"/>
  <c r="H30" i="12"/>
  <c r="J30" i="12" s="1"/>
  <c r="C62" i="10"/>
  <c r="B63" i="10"/>
  <c r="E63" i="10" s="1"/>
  <c r="G63" i="10" s="1"/>
  <c r="I63" i="10" s="1"/>
  <c r="Q46" i="28"/>
  <c r="K46" i="28"/>
  <c r="R46" i="28"/>
  <c r="S46" i="28" s="1"/>
  <c r="J47" i="28"/>
  <c r="M46" i="29"/>
  <c r="T46" i="29"/>
  <c r="U46" i="29" s="1"/>
  <c r="R47" i="29"/>
  <c r="S47" i="29" s="1"/>
  <c r="Q47" i="29"/>
  <c r="J48" i="29"/>
  <c r="K48" i="29" s="1"/>
  <c r="U46" i="28"/>
  <c r="V45" i="28"/>
  <c r="T38" i="20"/>
  <c r="U38" i="20"/>
  <c r="S39" i="20"/>
  <c r="X38" i="20"/>
  <c r="V38" i="20"/>
  <c r="Z38" i="20"/>
  <c r="Y38" i="20"/>
  <c r="AA38" i="20"/>
  <c r="W38" i="20"/>
  <c r="N29" i="12"/>
  <c r="Q29" i="12"/>
  <c r="C63" i="10" l="1"/>
  <c r="B64" i="10"/>
  <c r="E64" i="10" s="1"/>
  <c r="G64" i="10" s="1"/>
  <c r="I64" i="10" s="1"/>
  <c r="Q47" i="28"/>
  <c r="K47" i="28"/>
  <c r="R47" i="28"/>
  <c r="S47" i="28" s="1"/>
  <c r="J48" i="28"/>
  <c r="T47" i="29"/>
  <c r="U47" i="29" s="1"/>
  <c r="M47" i="29"/>
  <c r="R48" i="29"/>
  <c r="S48" i="29" s="1"/>
  <c r="Q48" i="29"/>
  <c r="J49" i="29"/>
  <c r="K49" i="29" s="1"/>
  <c r="V46" i="28"/>
  <c r="U47" i="28"/>
  <c r="S40" i="20"/>
  <c r="Z39" i="20"/>
  <c r="Y39" i="20"/>
  <c r="X39" i="20"/>
  <c r="V39" i="20"/>
  <c r="AA39" i="20"/>
  <c r="W39" i="20"/>
  <c r="T39" i="20"/>
  <c r="U39" i="20"/>
  <c r="D30" i="12"/>
  <c r="L30" i="12" s="1"/>
  <c r="S31" i="12" l="1"/>
  <c r="H31" i="12"/>
  <c r="J31" i="12" s="1"/>
  <c r="C64" i="10"/>
  <c r="B65" i="10"/>
  <c r="E65" i="10" s="1"/>
  <c r="G65" i="10" s="1"/>
  <c r="I65" i="10" s="1"/>
  <c r="Q48" i="28"/>
  <c r="K48" i="28"/>
  <c r="R48" i="28"/>
  <c r="S48" i="28" s="1"/>
  <c r="J49" i="28"/>
  <c r="M48" i="29"/>
  <c r="T48" i="29"/>
  <c r="U48" i="29" s="1"/>
  <c r="Q49" i="29"/>
  <c r="R49" i="29"/>
  <c r="S49" i="29" s="1"/>
  <c r="J50" i="29"/>
  <c r="K50" i="29" s="1"/>
  <c r="V47" i="28"/>
  <c r="U48" i="28"/>
  <c r="T40" i="20"/>
  <c r="U40" i="20"/>
  <c r="S41" i="20"/>
  <c r="AA40" i="20"/>
  <c r="Z40" i="20"/>
  <c r="X40" i="20"/>
  <c r="Y40" i="20"/>
  <c r="V40" i="20"/>
  <c r="W40" i="20"/>
  <c r="N30" i="12"/>
  <c r="Q30" i="12"/>
  <c r="C65" i="10" l="1"/>
  <c r="B66" i="10"/>
  <c r="E66" i="10" s="1"/>
  <c r="G66" i="10" s="1"/>
  <c r="I66" i="10" s="1"/>
  <c r="Q49" i="28"/>
  <c r="K49" i="28"/>
  <c r="R49" i="28"/>
  <c r="S49" i="28" s="1"/>
  <c r="J50" i="28"/>
  <c r="M49" i="29"/>
  <c r="T49" i="29"/>
  <c r="U49" i="29" s="1"/>
  <c r="Q50" i="29"/>
  <c r="R50" i="29"/>
  <c r="S50" i="29" s="1"/>
  <c r="J51" i="29"/>
  <c r="K51" i="29" s="1"/>
  <c r="U49" i="28"/>
  <c r="V48" i="28"/>
  <c r="S42" i="20"/>
  <c r="AA41" i="20"/>
  <c r="W41" i="20"/>
  <c r="Z41" i="20"/>
  <c r="X41" i="20"/>
  <c r="Y41" i="20"/>
  <c r="V41" i="20"/>
  <c r="T41" i="20"/>
  <c r="U41" i="20"/>
  <c r="D31" i="12"/>
  <c r="L31" i="12" s="1"/>
  <c r="S32" i="12" l="1"/>
  <c r="H32" i="12"/>
  <c r="J32" i="12" s="1"/>
  <c r="C66" i="10"/>
  <c r="B67" i="10"/>
  <c r="E67" i="10" s="1"/>
  <c r="G67" i="10" s="1"/>
  <c r="I67" i="10" s="1"/>
  <c r="Q50" i="28"/>
  <c r="K50" i="28"/>
  <c r="R50" i="28"/>
  <c r="S50" i="28" s="1"/>
  <c r="J51" i="28"/>
  <c r="M50" i="29"/>
  <c r="T50" i="29"/>
  <c r="U50" i="29" s="1"/>
  <c r="Q51" i="29"/>
  <c r="R51" i="29"/>
  <c r="S51" i="29" s="1"/>
  <c r="J52" i="29"/>
  <c r="K52" i="29" s="1"/>
  <c r="V49" i="28"/>
  <c r="U50" i="28"/>
  <c r="U42" i="20"/>
  <c r="T42" i="20"/>
  <c r="S43" i="20"/>
  <c r="V42" i="20"/>
  <c r="AA42" i="20"/>
  <c r="W42" i="20"/>
  <c r="Y42" i="20"/>
  <c r="Z42" i="20"/>
  <c r="X42" i="20"/>
  <c r="N31" i="12"/>
  <c r="Q31" i="12"/>
  <c r="C67" i="10" l="1"/>
  <c r="B68" i="10"/>
  <c r="E68" i="10" s="1"/>
  <c r="G68" i="10" s="1"/>
  <c r="I68" i="10" s="1"/>
  <c r="Q51" i="28"/>
  <c r="K51" i="28"/>
  <c r="R51" i="28"/>
  <c r="S51" i="28" s="1"/>
  <c r="J52" i="28"/>
  <c r="M51" i="29"/>
  <c r="T51" i="29"/>
  <c r="U51" i="29" s="1"/>
  <c r="Q52" i="29"/>
  <c r="R52" i="29"/>
  <c r="S52" i="29" s="1"/>
  <c r="J53" i="29"/>
  <c r="K53" i="29" s="1"/>
  <c r="U51" i="28"/>
  <c r="V50" i="28"/>
  <c r="S44" i="20"/>
  <c r="Y43" i="20"/>
  <c r="AA43" i="20"/>
  <c r="V43" i="20"/>
  <c r="W43" i="20"/>
  <c r="Z43" i="20"/>
  <c r="X43" i="20"/>
  <c r="T43" i="20"/>
  <c r="U43" i="20"/>
  <c r="D32" i="12"/>
  <c r="L32" i="12" s="1"/>
  <c r="S33" i="12" l="1"/>
  <c r="H33" i="12"/>
  <c r="J33" i="12" s="1"/>
  <c r="C68" i="10"/>
  <c r="B69" i="10"/>
  <c r="E69" i="10" s="1"/>
  <c r="G69" i="10" s="1"/>
  <c r="I69" i="10" s="1"/>
  <c r="Q52" i="28"/>
  <c r="K52" i="28"/>
  <c r="R52" i="28"/>
  <c r="S52" i="28" s="1"/>
  <c r="J53" i="28"/>
  <c r="M52" i="29"/>
  <c r="T52" i="29"/>
  <c r="U52" i="29" s="1"/>
  <c r="Q53" i="29"/>
  <c r="R53" i="29"/>
  <c r="S53" i="29" s="1"/>
  <c r="J54" i="29"/>
  <c r="K54" i="29" s="1"/>
  <c r="U52" i="28"/>
  <c r="V51" i="28"/>
  <c r="U44" i="20"/>
  <c r="S45" i="20"/>
  <c r="X44" i="20"/>
  <c r="Z44" i="20"/>
  <c r="Y44" i="20"/>
  <c r="V44" i="20"/>
  <c r="AA44" i="20"/>
  <c r="W44" i="20"/>
  <c r="T44" i="20"/>
  <c r="N32" i="12"/>
  <c r="D33" i="12" s="1"/>
  <c r="Q32" i="12"/>
  <c r="C69" i="10" l="1"/>
  <c r="B70" i="10"/>
  <c r="E70" i="10" s="1"/>
  <c r="G70" i="10" s="1"/>
  <c r="I70" i="10" s="1"/>
  <c r="K53" i="28"/>
  <c r="Q53" i="28"/>
  <c r="R53" i="28"/>
  <c r="S53" i="28" s="1"/>
  <c r="J54" i="28"/>
  <c r="M53" i="29"/>
  <c r="T53" i="29"/>
  <c r="U53" i="29" s="1"/>
  <c r="Q54" i="29"/>
  <c r="R54" i="29"/>
  <c r="S54" i="29" s="1"/>
  <c r="J55" i="29"/>
  <c r="K55" i="29" s="1"/>
  <c r="V52" i="28"/>
  <c r="U53" i="28"/>
  <c r="T45" i="20"/>
  <c r="S46" i="20"/>
  <c r="Z45" i="20"/>
  <c r="Y45" i="20"/>
  <c r="X45" i="20"/>
  <c r="V45" i="20"/>
  <c r="AA45" i="20"/>
  <c r="W45" i="20"/>
  <c r="U45" i="20"/>
  <c r="L33" i="12"/>
  <c r="S34" i="12" l="1"/>
  <c r="H34" i="12"/>
  <c r="J34" i="12" s="1"/>
  <c r="C70" i="10"/>
  <c r="B71" i="10"/>
  <c r="E71" i="10" s="1"/>
  <c r="G71" i="10" s="1"/>
  <c r="I71" i="10" s="1"/>
  <c r="K54" i="28"/>
  <c r="Q54" i="28"/>
  <c r="R54" i="28"/>
  <c r="S54" i="28" s="1"/>
  <c r="J55" i="28"/>
  <c r="M54" i="29"/>
  <c r="T54" i="29"/>
  <c r="U54" i="29" s="1"/>
  <c r="Q55" i="29"/>
  <c r="R55" i="29"/>
  <c r="S55" i="29" s="1"/>
  <c r="J56" i="29"/>
  <c r="K56" i="29" s="1"/>
  <c r="V53" i="28"/>
  <c r="U54" i="28"/>
  <c r="U46" i="20"/>
  <c r="T46" i="20"/>
  <c r="S47" i="20"/>
  <c r="T47" i="20" s="1"/>
  <c r="X46" i="20"/>
  <c r="Z46" i="20"/>
  <c r="AA46" i="20"/>
  <c r="Y46" i="20"/>
  <c r="V46" i="20"/>
  <c r="W46" i="20"/>
  <c r="N33" i="12"/>
  <c r="Q33" i="12"/>
  <c r="C71" i="10" l="1"/>
  <c r="B72" i="10"/>
  <c r="E72" i="10" s="1"/>
  <c r="G72" i="10" s="1"/>
  <c r="I72" i="10" s="1"/>
  <c r="Q55" i="28"/>
  <c r="K55" i="28"/>
  <c r="R55" i="28"/>
  <c r="S55" i="28" s="1"/>
  <c r="J56" i="28"/>
  <c r="M55" i="29"/>
  <c r="T55" i="29"/>
  <c r="U55" i="29" s="1"/>
  <c r="Q56" i="29"/>
  <c r="R56" i="29"/>
  <c r="S56" i="29" s="1"/>
  <c r="J57" i="29"/>
  <c r="K57" i="29" s="1"/>
  <c r="U55" i="28"/>
  <c r="V54" i="28"/>
  <c r="S48" i="20"/>
  <c r="AA47" i="20"/>
  <c r="W47" i="20"/>
  <c r="Z47" i="20"/>
  <c r="X47" i="20"/>
  <c r="Y47" i="20"/>
  <c r="V47" i="20"/>
  <c r="U47" i="20"/>
  <c r="D34" i="12"/>
  <c r="L34" i="12" s="1"/>
  <c r="S35" i="12" l="1"/>
  <c r="H35" i="12"/>
  <c r="J35" i="12" s="1"/>
  <c r="C72" i="10"/>
  <c r="B73" i="10"/>
  <c r="E73" i="10" s="1"/>
  <c r="G73" i="10" s="1"/>
  <c r="I73" i="10" s="1"/>
  <c r="K56" i="28"/>
  <c r="Q56" i="28"/>
  <c r="R56" i="28"/>
  <c r="S56" i="28" s="1"/>
  <c r="J57" i="28"/>
  <c r="M56" i="29"/>
  <c r="T56" i="29"/>
  <c r="U56" i="29" s="1"/>
  <c r="Q57" i="29"/>
  <c r="R57" i="29"/>
  <c r="S57" i="29" s="1"/>
  <c r="J58" i="29"/>
  <c r="K58" i="29" s="1"/>
  <c r="V55" i="28"/>
  <c r="U56" i="28"/>
  <c r="U48" i="20"/>
  <c r="S49" i="20"/>
  <c r="V48" i="20"/>
  <c r="Y48" i="20"/>
  <c r="AA48" i="20"/>
  <c r="W48" i="20"/>
  <c r="Z48" i="20"/>
  <c r="X48" i="20"/>
  <c r="T48" i="20"/>
  <c r="N34" i="12"/>
  <c r="D35" i="12" s="1"/>
  <c r="Q34" i="12"/>
  <c r="C73" i="10" l="1"/>
  <c r="B74" i="10"/>
  <c r="E74" i="10" s="1"/>
  <c r="G74" i="10" s="1"/>
  <c r="I74" i="10" s="1"/>
  <c r="K57" i="28"/>
  <c r="R57" i="28"/>
  <c r="S57" i="28" s="1"/>
  <c r="Q57" i="28"/>
  <c r="J58" i="28"/>
  <c r="M57" i="29"/>
  <c r="T57" i="29"/>
  <c r="U57" i="29" s="1"/>
  <c r="Q58" i="29"/>
  <c r="R58" i="29"/>
  <c r="S58" i="29" s="1"/>
  <c r="J59" i="29"/>
  <c r="K59" i="29" s="1"/>
  <c r="U57" i="28"/>
  <c r="V56" i="28"/>
  <c r="T49" i="20"/>
  <c r="S50" i="20"/>
  <c r="T50" i="20" s="1"/>
  <c r="Y49" i="20"/>
  <c r="W49" i="20"/>
  <c r="V49" i="20"/>
  <c r="AA49" i="20"/>
  <c r="Z49" i="20"/>
  <c r="X49" i="20"/>
  <c r="U49" i="20"/>
  <c r="L35" i="12"/>
  <c r="S36" i="12" l="1"/>
  <c r="H36" i="12"/>
  <c r="J36" i="12" s="1"/>
  <c r="C74" i="10"/>
  <c r="B75" i="10"/>
  <c r="E75" i="10" s="1"/>
  <c r="G75" i="10" s="1"/>
  <c r="I75" i="10" s="1"/>
  <c r="Q58" i="28"/>
  <c r="K58" i="28"/>
  <c r="R58" i="28"/>
  <c r="S58" i="28" s="1"/>
  <c r="J59" i="28"/>
  <c r="M58" i="29"/>
  <c r="T58" i="29"/>
  <c r="U58" i="29" s="1"/>
  <c r="Q59" i="29"/>
  <c r="R59" i="29"/>
  <c r="S59" i="29" s="1"/>
  <c r="J60" i="29"/>
  <c r="K60" i="29" s="1"/>
  <c r="U50" i="20"/>
  <c r="U58" i="28"/>
  <c r="V57" i="28"/>
  <c r="S51" i="20"/>
  <c r="X50" i="20"/>
  <c r="V50" i="20"/>
  <c r="Z50" i="20"/>
  <c r="Y50" i="20"/>
  <c r="AA50" i="20"/>
  <c r="W50" i="20"/>
  <c r="N35" i="12"/>
  <c r="D36" i="12" s="1"/>
  <c r="Q35" i="12"/>
  <c r="C75" i="10" l="1"/>
  <c r="B76" i="10"/>
  <c r="E76" i="10" s="1"/>
  <c r="G76" i="10" s="1"/>
  <c r="I76" i="10" s="1"/>
  <c r="K59" i="28"/>
  <c r="Q59" i="28"/>
  <c r="R59" i="28"/>
  <c r="S59" i="28" s="1"/>
  <c r="J60" i="28"/>
  <c r="M59" i="29"/>
  <c r="T59" i="29"/>
  <c r="U59" i="29" s="1"/>
  <c r="Q60" i="29"/>
  <c r="R60" i="29"/>
  <c r="S60" i="29" s="1"/>
  <c r="V58" i="28"/>
  <c r="G20" i="28" s="1"/>
  <c r="K10" i="28" s="1"/>
  <c r="K11" i="28" s="1"/>
  <c r="K12" i="28" s="1"/>
  <c r="K13" i="28" s="1"/>
  <c r="K14" i="28" s="1"/>
  <c r="K15" i="28" s="1"/>
  <c r="K16" i="28" s="1"/>
  <c r="K17" i="28" s="1"/>
  <c r="K18" i="28" s="1"/>
  <c r="K19" i="28" s="1"/>
  <c r="S52" i="20"/>
  <c r="Z51" i="20"/>
  <c r="X51" i="20"/>
  <c r="Y51" i="20"/>
  <c r="V51" i="20"/>
  <c r="AA51" i="20"/>
  <c r="W51" i="20"/>
  <c r="U51" i="20"/>
  <c r="T51" i="20"/>
  <c r="L36" i="12"/>
  <c r="S37" i="12" l="1"/>
  <c r="H37" i="12"/>
  <c r="J37" i="12" s="1"/>
  <c r="C76" i="10"/>
  <c r="B77" i="10"/>
  <c r="E77" i="10" s="1"/>
  <c r="G77" i="10" s="1"/>
  <c r="I77" i="10" s="1"/>
  <c r="M60" i="28"/>
  <c r="K60" i="28"/>
  <c r="R60" i="28"/>
  <c r="S60" i="28" s="1"/>
  <c r="Q60" i="28"/>
  <c r="M10" i="28"/>
  <c r="M60" i="29"/>
  <c r="T60" i="29"/>
  <c r="U60" i="29" s="1"/>
  <c r="T52" i="20"/>
  <c r="U52" i="20"/>
  <c r="S53" i="20"/>
  <c r="AA52" i="20"/>
  <c r="Z52" i="20"/>
  <c r="X52" i="20"/>
  <c r="Y52" i="20"/>
  <c r="V52" i="20"/>
  <c r="W52" i="20"/>
  <c r="N36" i="12"/>
  <c r="D37" i="12" s="1"/>
  <c r="Q36" i="12"/>
  <c r="C77" i="10" l="1"/>
  <c r="B78" i="10"/>
  <c r="E78" i="10" s="1"/>
  <c r="G78" i="10" s="1"/>
  <c r="I78" i="10" s="1"/>
  <c r="M11" i="28"/>
  <c r="F25" i="29"/>
  <c r="D25" i="29"/>
  <c r="S54" i="20"/>
  <c r="AA53" i="20"/>
  <c r="W53" i="20"/>
  <c r="Z53" i="20"/>
  <c r="X53" i="20"/>
  <c r="Y53" i="20"/>
  <c r="V53" i="20"/>
  <c r="U53" i="20"/>
  <c r="T53" i="20"/>
  <c r="L37" i="12"/>
  <c r="S38" i="12" l="1"/>
  <c r="H38" i="12"/>
  <c r="J38" i="12" s="1"/>
  <c r="C78" i="10"/>
  <c r="B79" i="10"/>
  <c r="E79" i="10" s="1"/>
  <c r="G79" i="10" s="1"/>
  <c r="I79" i="10" s="1"/>
  <c r="M12" i="28"/>
  <c r="T54" i="20"/>
  <c r="U54" i="20"/>
  <c r="S55" i="20"/>
  <c r="V54" i="20"/>
  <c r="AA54" i="20"/>
  <c r="W54" i="20"/>
  <c r="Z54" i="20"/>
  <c r="X54" i="20"/>
  <c r="Y54" i="20"/>
  <c r="N37" i="12"/>
  <c r="D38" i="12" s="1"/>
  <c r="Q37" i="12"/>
  <c r="C79" i="10" l="1"/>
  <c r="B80" i="10"/>
  <c r="E80" i="10" s="1"/>
  <c r="G80" i="10" s="1"/>
  <c r="I80" i="10" s="1"/>
  <c r="M13" i="28"/>
  <c r="U55" i="20"/>
  <c r="N21" i="20" s="1"/>
  <c r="Y55" i="20"/>
  <c r="AA55" i="20"/>
  <c r="S3" i="20" s="1"/>
  <c r="L18" i="20" s="1"/>
  <c r="V55" i="20"/>
  <c r="N22" i="20" s="1"/>
  <c r="N23" i="20" s="1"/>
  <c r="W55" i="20"/>
  <c r="Z55" i="20"/>
  <c r="X55" i="20"/>
  <c r="N24" i="20" s="1"/>
  <c r="N25" i="20" s="1"/>
  <c r="T55" i="20"/>
  <c r="L38" i="12"/>
  <c r="S39" i="12" l="1"/>
  <c r="H39" i="12"/>
  <c r="J39" i="12" s="1"/>
  <c r="C80" i="10"/>
  <c r="B81" i="10"/>
  <c r="E81" i="10" s="1"/>
  <c r="G81" i="10" s="1"/>
  <c r="I81" i="10" s="1"/>
  <c r="M14" i="28"/>
  <c r="M15" i="28" s="1"/>
  <c r="M16" i="28" s="1"/>
  <c r="M17" i="28" s="1"/>
  <c r="M18" i="28" s="1"/>
  <c r="M19" i="28" s="1"/>
  <c r="N26" i="20"/>
  <c r="N38" i="12"/>
  <c r="D39" i="12" s="1"/>
  <c r="Q38" i="12"/>
  <c r="C81" i="10" l="1"/>
  <c r="B82" i="10"/>
  <c r="E82" i="10" s="1"/>
  <c r="G82" i="10" s="1"/>
  <c r="I82" i="10" s="1"/>
  <c r="M20" i="28"/>
  <c r="L39" i="12"/>
  <c r="S40" i="12" l="1"/>
  <c r="H40" i="12"/>
  <c r="J40" i="12" s="1"/>
  <c r="C82" i="10"/>
  <c r="B83" i="10"/>
  <c r="E83" i="10" s="1"/>
  <c r="G83" i="10" s="1"/>
  <c r="I83" i="10" s="1"/>
  <c r="M21" i="28"/>
  <c r="N39" i="12"/>
  <c r="D40" i="12" s="1"/>
  <c r="Q39" i="12"/>
  <c r="C83" i="10" l="1"/>
  <c r="B84" i="10"/>
  <c r="E84" i="10" s="1"/>
  <c r="G84" i="10" s="1"/>
  <c r="I84" i="10" s="1"/>
  <c r="M22" i="28"/>
  <c r="L40" i="12"/>
  <c r="S41" i="12" l="1"/>
  <c r="H41" i="12"/>
  <c r="J41" i="12" s="1"/>
  <c r="C84" i="10"/>
  <c r="B85" i="10"/>
  <c r="E85" i="10" s="1"/>
  <c r="G85" i="10" s="1"/>
  <c r="I85" i="10" s="1"/>
  <c r="M23" i="28"/>
  <c r="Q40" i="12"/>
  <c r="N40" i="12"/>
  <c r="D41" i="12" s="1"/>
  <c r="C85" i="10" l="1"/>
  <c r="B86" i="10"/>
  <c r="E86" i="10" s="1"/>
  <c r="G86" i="10" s="1"/>
  <c r="I86" i="10" s="1"/>
  <c r="M24" i="28"/>
  <c r="L41" i="12"/>
  <c r="S42" i="12" l="1"/>
  <c r="H42" i="12"/>
  <c r="J42" i="12" s="1"/>
  <c r="C86" i="10"/>
  <c r="B87" i="10"/>
  <c r="E87" i="10" s="1"/>
  <c r="G87" i="10" s="1"/>
  <c r="I87" i="10" s="1"/>
  <c r="M25" i="28"/>
  <c r="N41" i="12"/>
  <c r="D42" i="12" s="1"/>
  <c r="Q41" i="12"/>
  <c r="C87" i="10" l="1"/>
  <c r="B88" i="10"/>
  <c r="E88" i="10" s="1"/>
  <c r="G88" i="10" s="1"/>
  <c r="I88" i="10" s="1"/>
  <c r="M26" i="28"/>
  <c r="L42" i="12"/>
  <c r="S43" i="12" l="1"/>
  <c r="H43" i="12"/>
  <c r="J43" i="12" s="1"/>
  <c r="C88" i="10"/>
  <c r="B89" i="10"/>
  <c r="E89" i="10" s="1"/>
  <c r="G89" i="10" s="1"/>
  <c r="I89" i="10" s="1"/>
  <c r="M27" i="28"/>
  <c r="N42" i="12"/>
  <c r="D43" i="12" s="1"/>
  <c r="Q42" i="12"/>
  <c r="C89" i="10" l="1"/>
  <c r="B90" i="10"/>
  <c r="E90" i="10" s="1"/>
  <c r="G90" i="10" s="1"/>
  <c r="I90" i="10" s="1"/>
  <c r="M28" i="28"/>
  <c r="L43" i="12"/>
  <c r="S44" i="12" l="1"/>
  <c r="H44" i="12"/>
  <c r="J44" i="12" s="1"/>
  <c r="C90" i="10"/>
  <c r="B91" i="10"/>
  <c r="E91" i="10" s="1"/>
  <c r="G91" i="10" s="1"/>
  <c r="I91" i="10" s="1"/>
  <c r="M29" i="28"/>
  <c r="Q43" i="12"/>
  <c r="N43" i="12"/>
  <c r="D44" i="12" s="1"/>
  <c r="C91" i="10" l="1"/>
  <c r="B92" i="10"/>
  <c r="E92" i="10" s="1"/>
  <c r="G92" i="10" s="1"/>
  <c r="I92" i="10" s="1"/>
  <c r="M30" i="28"/>
  <c r="L44" i="12"/>
  <c r="S45" i="12" l="1"/>
  <c r="H45" i="12"/>
  <c r="J45" i="12" s="1"/>
  <c r="C92" i="10"/>
  <c r="B93" i="10"/>
  <c r="E93" i="10" s="1"/>
  <c r="G93" i="10" s="1"/>
  <c r="I93" i="10" s="1"/>
  <c r="M31" i="28"/>
  <c r="N44" i="12"/>
  <c r="D45" i="12" s="1"/>
  <c r="Q44" i="12"/>
  <c r="C93" i="10" l="1"/>
  <c r="B94" i="10"/>
  <c r="E94" i="10" s="1"/>
  <c r="G94" i="10" s="1"/>
  <c r="I94" i="10" s="1"/>
  <c r="M32" i="28"/>
  <c r="L45" i="12"/>
  <c r="S46" i="12" l="1"/>
  <c r="H46" i="12"/>
  <c r="J46" i="12" s="1"/>
  <c r="C94" i="10"/>
  <c r="B95" i="10"/>
  <c r="E95" i="10" s="1"/>
  <c r="G95" i="10" s="1"/>
  <c r="I95" i="10" s="1"/>
  <c r="M33" i="28"/>
  <c r="N45" i="12"/>
  <c r="D46" i="12" s="1"/>
  <c r="Q45" i="12"/>
  <c r="C95" i="10" l="1"/>
  <c r="B96" i="10"/>
  <c r="E96" i="10" s="1"/>
  <c r="G96" i="10" s="1"/>
  <c r="I96" i="10" s="1"/>
  <c r="M34" i="28"/>
  <c r="L46" i="12"/>
  <c r="N46" i="12" l="1"/>
  <c r="D47" i="12" s="1"/>
  <c r="H47" i="12"/>
  <c r="J47" i="12" s="1"/>
  <c r="C96" i="10"/>
  <c r="B97" i="10"/>
  <c r="E97" i="10" s="1"/>
  <c r="G97" i="10" s="1"/>
  <c r="I97" i="10" s="1"/>
  <c r="M35" i="28"/>
  <c r="S47" i="12"/>
  <c r="Q46" i="12"/>
  <c r="C97" i="10" l="1"/>
  <c r="B98" i="10"/>
  <c r="E98" i="10" s="1"/>
  <c r="G98" i="10" s="1"/>
  <c r="I98" i="10" s="1"/>
  <c r="M36" i="28"/>
  <c r="L47" i="12"/>
  <c r="S48" i="12" l="1"/>
  <c r="H48" i="12"/>
  <c r="J48" i="12" s="1"/>
  <c r="C98" i="10"/>
  <c r="B99" i="10"/>
  <c r="E99" i="10" s="1"/>
  <c r="G99" i="10" s="1"/>
  <c r="I99" i="10" s="1"/>
  <c r="M37" i="28"/>
  <c r="N47" i="12"/>
  <c r="D48" i="12" s="1"/>
  <c r="Q47" i="12"/>
  <c r="C99" i="10" l="1"/>
  <c r="B100" i="10"/>
  <c r="E100" i="10" s="1"/>
  <c r="G100" i="10" s="1"/>
  <c r="I100" i="10" s="1"/>
  <c r="M38" i="28"/>
  <c r="L48" i="12"/>
  <c r="S49" i="12" l="1"/>
  <c r="H49" i="12"/>
  <c r="J49" i="12" s="1"/>
  <c r="C100" i="10"/>
  <c r="B101" i="10"/>
  <c r="E101" i="10" s="1"/>
  <c r="G101" i="10" s="1"/>
  <c r="I101" i="10" s="1"/>
  <c r="M39" i="28"/>
  <c r="Q48" i="12"/>
  <c r="N48" i="12"/>
  <c r="D49" i="12" s="1"/>
  <c r="C101" i="10" l="1"/>
  <c r="B102" i="10"/>
  <c r="E102" i="10" s="1"/>
  <c r="G102" i="10" s="1"/>
  <c r="I102" i="10" s="1"/>
  <c r="M40" i="28"/>
  <c r="L49" i="12"/>
  <c r="H50" i="12" s="1"/>
  <c r="C102" i="10" l="1"/>
  <c r="B103" i="10"/>
  <c r="E103" i="10" s="1"/>
  <c r="G103" i="10" s="1"/>
  <c r="I103" i="10" s="1"/>
  <c r="M41" i="28"/>
  <c r="S50" i="12"/>
  <c r="N49" i="12"/>
  <c r="D50" i="12" s="1"/>
  <c r="J50" i="12"/>
  <c r="Q49" i="12"/>
  <c r="C103" i="10" l="1"/>
  <c r="B104" i="10"/>
  <c r="E104" i="10" s="1"/>
  <c r="G104" i="10" s="1"/>
  <c r="I104" i="10" s="1"/>
  <c r="M42" i="28"/>
  <c r="L50" i="12"/>
  <c r="N50" i="12" l="1"/>
  <c r="D51" i="12" s="1"/>
  <c r="H51" i="12"/>
  <c r="J51" i="12" s="1"/>
  <c r="C104" i="10"/>
  <c r="B105" i="10"/>
  <c r="E105" i="10" s="1"/>
  <c r="G105" i="10" s="1"/>
  <c r="I105" i="10" s="1"/>
  <c r="M43" i="28"/>
  <c r="S51" i="12"/>
  <c r="Q50" i="12"/>
  <c r="C105" i="10" l="1"/>
  <c r="B106" i="10"/>
  <c r="E106" i="10" s="1"/>
  <c r="G106" i="10" s="1"/>
  <c r="I106" i="10" s="1"/>
  <c r="M44" i="28"/>
  <c r="L51" i="12"/>
  <c r="S52" i="12" l="1"/>
  <c r="H52" i="12"/>
  <c r="J52" i="12" s="1"/>
  <c r="C106" i="10"/>
  <c r="B107" i="10"/>
  <c r="E107" i="10" s="1"/>
  <c r="G107" i="10" s="1"/>
  <c r="I107" i="10" s="1"/>
  <c r="M45" i="28"/>
  <c r="N51" i="12"/>
  <c r="D52" i="12" s="1"/>
  <c r="Q51" i="12"/>
  <c r="C107" i="10" l="1"/>
  <c r="B108" i="10"/>
  <c r="E108" i="10" s="1"/>
  <c r="G108" i="10" s="1"/>
  <c r="I108" i="10" s="1"/>
  <c r="M46" i="28"/>
  <c r="L52" i="12"/>
  <c r="S53" i="12" l="1"/>
  <c r="H53" i="12"/>
  <c r="J53" i="12" s="1"/>
  <c r="C108" i="10"/>
  <c r="B109" i="10"/>
  <c r="E109" i="10" s="1"/>
  <c r="G109" i="10" s="1"/>
  <c r="I109" i="10" s="1"/>
  <c r="M47" i="28"/>
  <c r="N52" i="12"/>
  <c r="D53" i="12" s="1"/>
  <c r="Q52" i="12"/>
  <c r="C109" i="10" l="1"/>
  <c r="B110" i="10"/>
  <c r="E110" i="10" s="1"/>
  <c r="G110" i="10" s="1"/>
  <c r="I110" i="10" s="1"/>
  <c r="M48" i="28"/>
  <c r="L53" i="12"/>
  <c r="S54" i="12" l="1"/>
  <c r="H54" i="12"/>
  <c r="J54" i="12" s="1"/>
  <c r="C110" i="10"/>
  <c r="B111" i="10"/>
  <c r="E111" i="10" s="1"/>
  <c r="G111" i="10" s="1"/>
  <c r="I111" i="10" s="1"/>
  <c r="M49" i="28"/>
  <c r="N53" i="12"/>
  <c r="D54" i="12" s="1"/>
  <c r="Q53" i="12"/>
  <c r="C111" i="10" l="1"/>
  <c r="B112" i="10"/>
  <c r="E112" i="10" s="1"/>
  <c r="G112" i="10" s="1"/>
  <c r="I112" i="10" s="1"/>
  <c r="M50" i="28"/>
  <c r="L54" i="12"/>
  <c r="S55" i="12" l="1"/>
  <c r="H55" i="12"/>
  <c r="J55" i="12" s="1"/>
  <c r="C112" i="10"/>
  <c r="B113" i="10"/>
  <c r="E113" i="10" s="1"/>
  <c r="G113" i="10" s="1"/>
  <c r="I113" i="10" s="1"/>
  <c r="M51" i="28"/>
  <c r="Q54" i="12"/>
  <c r="N54" i="12"/>
  <c r="D55" i="12" s="1"/>
  <c r="C113" i="10" l="1"/>
  <c r="B114" i="10"/>
  <c r="E114" i="10" s="1"/>
  <c r="G114" i="10" s="1"/>
  <c r="I114" i="10" s="1"/>
  <c r="M52" i="28"/>
  <c r="L55" i="12"/>
  <c r="S56" i="12" l="1"/>
  <c r="H56" i="12"/>
  <c r="J56" i="12" s="1"/>
  <c r="C114" i="10"/>
  <c r="B115" i="10"/>
  <c r="E115" i="10" s="1"/>
  <c r="G115" i="10" s="1"/>
  <c r="I115" i="10" s="1"/>
  <c r="M53" i="28"/>
  <c r="N55" i="12"/>
  <c r="D56" i="12" s="1"/>
  <c r="Q55" i="12"/>
  <c r="C115" i="10" l="1"/>
  <c r="B116" i="10"/>
  <c r="E116" i="10" s="1"/>
  <c r="G116" i="10" s="1"/>
  <c r="I116" i="10" s="1"/>
  <c r="M54" i="28"/>
  <c r="L56" i="12"/>
  <c r="S57" i="12" l="1"/>
  <c r="H57" i="12"/>
  <c r="J57" i="12" s="1"/>
  <c r="C116" i="10"/>
  <c r="B117" i="10"/>
  <c r="E117" i="10" s="1"/>
  <c r="G117" i="10" s="1"/>
  <c r="I117" i="10" s="1"/>
  <c r="M55" i="28"/>
  <c r="Q56" i="12"/>
  <c r="N56" i="12"/>
  <c r="D57" i="12" s="1"/>
  <c r="C117" i="10" l="1"/>
  <c r="B118" i="10"/>
  <c r="E118" i="10" s="1"/>
  <c r="G118" i="10" s="1"/>
  <c r="I118" i="10" s="1"/>
  <c r="M56" i="28"/>
  <c r="L57" i="12"/>
  <c r="S58" i="12" l="1"/>
  <c r="H58" i="12"/>
  <c r="J58" i="12" s="1"/>
  <c r="C118" i="10"/>
  <c r="B119" i="10"/>
  <c r="E119" i="10" s="1"/>
  <c r="G119" i="10" s="1"/>
  <c r="I119" i="10" s="1"/>
  <c r="M57" i="28"/>
  <c r="Q57" i="12"/>
  <c r="N57" i="12"/>
  <c r="D58" i="12" s="1"/>
  <c r="C119" i="10" l="1"/>
  <c r="B120" i="10"/>
  <c r="E120" i="10" s="1"/>
  <c r="G120" i="10" s="1"/>
  <c r="I120" i="10" s="1"/>
  <c r="M58" i="28"/>
  <c r="L58" i="12"/>
  <c r="S59" i="12" l="1"/>
  <c r="H59" i="12"/>
  <c r="J59" i="12" s="1"/>
  <c r="C120" i="10"/>
  <c r="B121" i="10"/>
  <c r="E121" i="10" s="1"/>
  <c r="G121" i="10" s="1"/>
  <c r="I121" i="10" s="1"/>
  <c r="M59" i="28"/>
  <c r="N58" i="12"/>
  <c r="D59" i="12" s="1"/>
  <c r="Q58" i="12"/>
  <c r="C121" i="10" l="1"/>
  <c r="B122" i="10"/>
  <c r="E122" i="10" s="1"/>
  <c r="G122" i="10" s="1"/>
  <c r="I122" i="10" s="1"/>
  <c r="L59" i="12"/>
  <c r="S60" i="12" l="1"/>
  <c r="H60" i="12"/>
  <c r="J60" i="12" s="1"/>
  <c r="C122" i="10"/>
  <c r="B123" i="10"/>
  <c r="E123" i="10" s="1"/>
  <c r="G123" i="10" s="1"/>
  <c r="I123" i="10" s="1"/>
  <c r="Q59" i="12"/>
  <c r="N59" i="12"/>
  <c r="D60" i="12" s="1"/>
  <c r="C123" i="10" l="1"/>
  <c r="B124" i="10"/>
  <c r="E124" i="10" s="1"/>
  <c r="G124" i="10" s="1"/>
  <c r="I124" i="10" s="1"/>
  <c r="L60" i="12"/>
  <c r="S61" i="12" l="1"/>
  <c r="H61" i="12"/>
  <c r="J61" i="12" s="1"/>
  <c r="C124" i="10"/>
  <c r="B125" i="10"/>
  <c r="E125" i="10" s="1"/>
  <c r="G125" i="10" s="1"/>
  <c r="I125" i="10" s="1"/>
  <c r="N60" i="12"/>
  <c r="D61" i="12" s="1"/>
  <c r="Q60" i="12"/>
  <c r="C125" i="10" l="1"/>
  <c r="B126" i="10"/>
  <c r="E126" i="10" s="1"/>
  <c r="G126" i="10" s="1"/>
  <c r="I126" i="10" s="1"/>
  <c r="L61" i="12"/>
  <c r="S62" i="12" l="1"/>
  <c r="H62" i="12"/>
  <c r="J62" i="12" s="1"/>
  <c r="C126" i="10"/>
  <c r="B127" i="10"/>
  <c r="E127" i="10" s="1"/>
  <c r="G127" i="10" s="1"/>
  <c r="I127" i="10" s="1"/>
  <c r="Q61" i="12"/>
  <c r="N61" i="12"/>
  <c r="D62" i="12" s="1"/>
  <c r="C127" i="10" l="1"/>
  <c r="B128" i="10"/>
  <c r="E128" i="10" s="1"/>
  <c r="G128" i="10" s="1"/>
  <c r="I128" i="10" s="1"/>
  <c r="L62" i="12"/>
  <c r="S63" i="12" l="1"/>
  <c r="H63" i="12"/>
  <c r="J63" i="12" s="1"/>
  <c r="C128" i="10"/>
  <c r="B129" i="10"/>
  <c r="E129" i="10" s="1"/>
  <c r="G129" i="10" s="1"/>
  <c r="I129" i="10" s="1"/>
  <c r="N62" i="12"/>
  <c r="D63" i="12" s="1"/>
  <c r="Q62" i="12"/>
  <c r="C129" i="10" l="1"/>
  <c r="B130" i="10"/>
  <c r="E130" i="10" s="1"/>
  <c r="G130" i="10" s="1"/>
  <c r="I130" i="10" s="1"/>
  <c r="L63" i="12"/>
  <c r="S64" i="12" l="1"/>
  <c r="H64" i="12"/>
  <c r="J64" i="12" s="1"/>
  <c r="C130" i="10"/>
  <c r="B131" i="10"/>
  <c r="E131" i="10" s="1"/>
  <c r="G131" i="10" s="1"/>
  <c r="I131" i="10" s="1"/>
  <c r="Q63" i="12"/>
  <c r="N63" i="12"/>
  <c r="D64" i="12" s="1"/>
  <c r="C131" i="10" l="1"/>
  <c r="B132" i="10"/>
  <c r="E132" i="10" s="1"/>
  <c r="G132" i="10" s="1"/>
  <c r="I132" i="10" s="1"/>
  <c r="L64" i="12"/>
  <c r="S65" i="12" l="1"/>
  <c r="H65" i="12"/>
  <c r="J65" i="12" s="1"/>
  <c r="C132" i="10"/>
  <c r="B133" i="10"/>
  <c r="E133" i="10" s="1"/>
  <c r="G133" i="10" s="1"/>
  <c r="I133" i="10" s="1"/>
  <c r="N64" i="12"/>
  <c r="D65" i="12" s="1"/>
  <c r="Q64" i="12"/>
  <c r="C133" i="10" l="1"/>
  <c r="B134" i="10"/>
  <c r="E134" i="10" s="1"/>
  <c r="G134" i="10" s="1"/>
  <c r="I134" i="10" s="1"/>
  <c r="L65" i="12"/>
  <c r="H66" i="12" s="1"/>
  <c r="C134" i="10" l="1"/>
  <c r="B135" i="10"/>
  <c r="E135" i="10" s="1"/>
  <c r="G135" i="10" s="1"/>
  <c r="I135" i="10" s="1"/>
  <c r="S66" i="12"/>
  <c r="J66" i="12"/>
  <c r="N65" i="12"/>
  <c r="D66" i="12" s="1"/>
  <c r="Q65" i="12"/>
  <c r="C135" i="10" l="1"/>
  <c r="B136" i="10"/>
  <c r="E136" i="10" s="1"/>
  <c r="G136" i="10" s="1"/>
  <c r="I136" i="10" s="1"/>
  <c r="L66" i="12"/>
  <c r="S67" i="12" l="1"/>
  <c r="H67" i="12"/>
  <c r="J67" i="12" s="1"/>
  <c r="C136" i="10"/>
  <c r="B137" i="10"/>
  <c r="E137" i="10" s="1"/>
  <c r="G137" i="10" s="1"/>
  <c r="I137" i="10" s="1"/>
  <c r="N66" i="12"/>
  <c r="D67" i="12" s="1"/>
  <c r="Q66" i="12"/>
  <c r="C137" i="10" l="1"/>
  <c r="B138" i="10"/>
  <c r="E138" i="10" s="1"/>
  <c r="G138" i="10" s="1"/>
  <c r="I138" i="10" s="1"/>
  <c r="L67" i="12"/>
  <c r="S68" i="12" l="1"/>
  <c r="H68" i="12"/>
  <c r="J68" i="12" s="1"/>
  <c r="C138" i="10"/>
  <c r="B139" i="10"/>
  <c r="E139" i="10" s="1"/>
  <c r="G139" i="10" s="1"/>
  <c r="I139" i="10" s="1"/>
  <c r="N67" i="12"/>
  <c r="D68" i="12" s="1"/>
  <c r="Q67" i="12"/>
  <c r="C139" i="10" l="1"/>
  <c r="B140" i="10"/>
  <c r="E140" i="10" s="1"/>
  <c r="G140" i="10" s="1"/>
  <c r="I140" i="10" s="1"/>
  <c r="L68" i="12"/>
  <c r="N27" i="11"/>
  <c r="N21" i="11"/>
  <c r="N15" i="11"/>
  <c r="N9" i="11"/>
  <c r="F27" i="11"/>
  <c r="F21" i="11"/>
  <c r="F15" i="11"/>
  <c r="F9" i="11"/>
  <c r="S69" i="12" l="1"/>
  <c r="H69" i="12"/>
  <c r="J69" i="12" s="1"/>
  <c r="C140" i="10"/>
  <c r="B141" i="10"/>
  <c r="E141" i="10" s="1"/>
  <c r="G141" i="10" s="1"/>
  <c r="I141" i="10" s="1"/>
  <c r="N68" i="12"/>
  <c r="D69" i="12" s="1"/>
  <c r="Q68" i="12"/>
  <c r="C141" i="10" l="1"/>
  <c r="B142" i="10"/>
  <c r="E142" i="10" s="1"/>
  <c r="G142" i="10" s="1"/>
  <c r="I142" i="10" s="1"/>
  <c r="L69" i="12"/>
  <c r="S70" i="12" l="1"/>
  <c r="H70" i="12"/>
  <c r="J70" i="12" s="1"/>
  <c r="C142" i="10"/>
  <c r="B143" i="10"/>
  <c r="E143" i="10" s="1"/>
  <c r="G143" i="10" s="1"/>
  <c r="I143" i="10" s="1"/>
  <c r="N69" i="12"/>
  <c r="D70" i="12" s="1"/>
  <c r="Q69" i="12"/>
  <c r="C143" i="10" l="1"/>
  <c r="B144" i="10"/>
  <c r="E144" i="10" s="1"/>
  <c r="G144" i="10" s="1"/>
  <c r="I144" i="10" s="1"/>
  <c r="L70" i="12"/>
  <c r="S71" i="12" l="1"/>
  <c r="H71" i="12"/>
  <c r="J71" i="12" s="1"/>
  <c r="C144" i="10"/>
  <c r="B145" i="10"/>
  <c r="E145" i="10" s="1"/>
  <c r="G145" i="10" s="1"/>
  <c r="I145" i="10" s="1"/>
  <c r="N70" i="12"/>
  <c r="D71" i="12" s="1"/>
  <c r="Q70" i="12"/>
  <c r="C145" i="10" l="1"/>
  <c r="B146" i="10"/>
  <c r="E146" i="10" s="1"/>
  <c r="G146" i="10" s="1"/>
  <c r="I146" i="10" s="1"/>
  <c r="L71" i="12"/>
  <c r="H72" i="12" s="1"/>
  <c r="L25" i="9"/>
  <c r="L18" i="9"/>
  <c r="J18" i="9"/>
  <c r="L17" i="9"/>
  <c r="J17" i="9"/>
  <c r="R18" i="9"/>
  <c r="R19" i="9" s="1"/>
  <c r="R20" i="9" s="1"/>
  <c r="R21" i="9" s="1"/>
  <c r="R22" i="9" s="1"/>
  <c r="R23" i="9" s="1"/>
  <c r="R24" i="9" s="1"/>
  <c r="R25" i="9" s="1"/>
  <c r="R26" i="9" s="1"/>
  <c r="R27" i="9" s="1"/>
  <c r="R28" i="9" s="1"/>
  <c r="R29" i="9" s="1"/>
  <c r="R30" i="9" s="1"/>
  <c r="R31" i="9" s="1"/>
  <c r="R32" i="9" s="1"/>
  <c r="R33" i="9" s="1"/>
  <c r="R34" i="9" s="1"/>
  <c r="R35" i="9" s="1"/>
  <c r="R36" i="9" s="1"/>
  <c r="R37" i="9" s="1"/>
  <c r="R38" i="9" s="1"/>
  <c r="R39" i="9" s="1"/>
  <c r="R40" i="9" s="1"/>
  <c r="R41" i="9" s="1"/>
  <c r="J19" i="9" s="1"/>
  <c r="B11" i="9" s="1"/>
  <c r="C146" i="10" l="1"/>
  <c r="B147" i="10"/>
  <c r="E147" i="10" s="1"/>
  <c r="G147" i="10" s="1"/>
  <c r="I147" i="10" s="1"/>
  <c r="S72" i="12"/>
  <c r="Q71" i="12"/>
  <c r="J72" i="12"/>
  <c r="N71" i="12"/>
  <c r="D72" i="12" s="1"/>
  <c r="L19" i="9"/>
  <c r="L20" i="9" s="1"/>
  <c r="B23" i="9"/>
  <c r="B22" i="9"/>
  <c r="J23" i="9"/>
  <c r="B24" i="9"/>
  <c r="J20" i="9"/>
  <c r="J25" i="9"/>
  <c r="X15" i="8"/>
  <c r="X16" i="8" s="1"/>
  <c r="S48" i="8"/>
  <c r="D49" i="8"/>
  <c r="D50" i="8" s="1"/>
  <c r="D51" i="8" s="1"/>
  <c r="D52" i="8" s="1"/>
  <c r="D53" i="8" s="1"/>
  <c r="D54" i="8" s="1"/>
  <c r="D55" i="8" s="1"/>
  <c r="D56" i="8" s="1"/>
  <c r="D57" i="8" s="1"/>
  <c r="D58" i="8" s="1"/>
  <c r="D59" i="8" s="1"/>
  <c r="D60" i="8" s="1"/>
  <c r="D61" i="8" s="1"/>
  <c r="D62" i="8" s="1"/>
  <c r="D63" i="8" s="1"/>
  <c r="D64" i="8" s="1"/>
  <c r="D65" i="8" s="1"/>
  <c r="D66" i="8" s="1"/>
  <c r="D67" i="8" s="1"/>
  <c r="D68" i="8" s="1"/>
  <c r="D69" i="8" s="1"/>
  <c r="D70" i="8" s="1"/>
  <c r="D71" i="8" s="1"/>
  <c r="D72" i="8" s="1"/>
  <c r="D73" i="8" s="1"/>
  <c r="D74" i="8" s="1"/>
  <c r="D75" i="8" s="1"/>
  <c r="D76" i="8" s="1"/>
  <c r="D77" i="8" s="1"/>
  <c r="D78" i="8" s="1"/>
  <c r="D79" i="8" s="1"/>
  <c r="D80" i="8" s="1"/>
  <c r="D81" i="8" s="1"/>
  <c r="D82" i="8" s="1"/>
  <c r="D83" i="8" s="1"/>
  <c r="D84" i="8" s="1"/>
  <c r="D85" i="8" s="1"/>
  <c r="D86" i="8" s="1"/>
  <c r="D87" i="8" s="1"/>
  <c r="D88" i="8" s="1"/>
  <c r="D89" i="8" s="1"/>
  <c r="D90" i="8" s="1"/>
  <c r="D91" i="8" s="1"/>
  <c r="D92" i="8" s="1"/>
  <c r="D93" i="8" s="1"/>
  <c r="D94" i="8" s="1"/>
  <c r="D95" i="8" s="1"/>
  <c r="D96" i="8" s="1"/>
  <c r="D97" i="8" s="1"/>
  <c r="D98" i="8" s="1"/>
  <c r="D99" i="8" s="1"/>
  <c r="D100" i="8" s="1"/>
  <c r="D101" i="8" s="1"/>
  <c r="D102" i="8" s="1"/>
  <c r="D103" i="8" s="1"/>
  <c r="D104" i="8" s="1"/>
  <c r="D105" i="8" s="1"/>
  <c r="D106" i="8" s="1"/>
  <c r="D107" i="8" s="1"/>
  <c r="D108" i="8" s="1"/>
  <c r="D109" i="8" s="1"/>
  <c r="D110" i="8" s="1"/>
  <c r="D111" i="8" s="1"/>
  <c r="D112" i="8" s="1"/>
  <c r="D113" i="8" s="1"/>
  <c r="D114" i="8" s="1"/>
  <c r="D115" i="8" s="1"/>
  <c r="D116" i="8" s="1"/>
  <c r="D117" i="8" s="1"/>
  <c r="D118" i="8" s="1"/>
  <c r="D119" i="8" s="1"/>
  <c r="D120" i="8" s="1"/>
  <c r="D121" i="8" s="1"/>
  <c r="D122" i="8" s="1"/>
  <c r="D123" i="8" s="1"/>
  <c r="D124" i="8" s="1"/>
  <c r="D125" i="8" s="1"/>
  <c r="D126" i="8" s="1"/>
  <c r="D127" i="8" s="1"/>
  <c r="D128" i="8" s="1"/>
  <c r="D129" i="8" s="1"/>
  <c r="D130" i="8" s="1"/>
  <c r="D131" i="8" s="1"/>
  <c r="D132" i="8" s="1"/>
  <c r="D133" i="8" s="1"/>
  <c r="D134" i="8" s="1"/>
  <c r="D135" i="8" s="1"/>
  <c r="D136" i="8" s="1"/>
  <c r="D137" i="8" s="1"/>
  <c r="D138" i="8" s="1"/>
  <c r="D139" i="8" s="1"/>
  <c r="D140" i="8" s="1"/>
  <c r="D141" i="8" s="1"/>
  <c r="D142" i="8" s="1"/>
  <c r="D143" i="8" s="1"/>
  <c r="D144" i="8" s="1"/>
  <c r="D145" i="8" s="1"/>
  <c r="D146" i="8" s="1"/>
  <c r="D147" i="8" s="1"/>
  <c r="D148" i="8" s="1"/>
  <c r="D149" i="8" s="1"/>
  <c r="D150" i="8" s="1"/>
  <c r="D151" i="8" s="1"/>
  <c r="D152" i="8" s="1"/>
  <c r="D153" i="8" s="1"/>
  <c r="D154" i="8" s="1"/>
  <c r="D155" i="8" s="1"/>
  <c r="D156" i="8" s="1"/>
  <c r="D157" i="8" s="1"/>
  <c r="D158" i="8" s="1"/>
  <c r="D159" i="8" s="1"/>
  <c r="D160" i="8" s="1"/>
  <c r="D161" i="8" s="1"/>
  <c r="D162" i="8" s="1"/>
  <c r="D163" i="8" s="1"/>
  <c r="D164" i="8" s="1"/>
  <c r="D165" i="8" s="1"/>
  <c r="D166" i="8" s="1"/>
  <c r="D167" i="8" s="1"/>
  <c r="D168" i="8" s="1"/>
  <c r="D169" i="8" s="1"/>
  <c r="D170" i="8" s="1"/>
  <c r="D171" i="8" s="1"/>
  <c r="D172" i="8" s="1"/>
  <c r="D173" i="8" s="1"/>
  <c r="D174" i="8" s="1"/>
  <c r="D175" i="8" s="1"/>
  <c r="D176" i="8" s="1"/>
  <c r="D177" i="8" s="1"/>
  <c r="D178" i="8" s="1"/>
  <c r="D179" i="8" s="1"/>
  <c r="D180" i="8" s="1"/>
  <c r="D181" i="8" s="1"/>
  <c r="D182" i="8" s="1"/>
  <c r="D183" i="8" s="1"/>
  <c r="D184" i="8" s="1"/>
  <c r="D185" i="8" s="1"/>
  <c r="D186" i="8" s="1"/>
  <c r="D187" i="8" s="1"/>
  <c r="D188" i="8" s="1"/>
  <c r="D189" i="8" s="1"/>
  <c r="D190" i="8" s="1"/>
  <c r="D191" i="8" s="1"/>
  <c r="D192" i="8" s="1"/>
  <c r="D193" i="8" s="1"/>
  <c r="D194" i="8" s="1"/>
  <c r="D195" i="8" s="1"/>
  <c r="D196" i="8" s="1"/>
  <c r="D197" i="8" s="1"/>
  <c r="D198" i="8" s="1"/>
  <c r="D199" i="8" s="1"/>
  <c r="D200" i="8" s="1"/>
  <c r="D201" i="8" s="1"/>
  <c r="D202" i="8" s="1"/>
  <c r="D203" i="8" s="1"/>
  <c r="D204" i="8" s="1"/>
  <c r="D205" i="8" s="1"/>
  <c r="D206" i="8" s="1"/>
  <c r="D207" i="8" s="1"/>
  <c r="D208" i="8" s="1"/>
  <c r="D209" i="8" s="1"/>
  <c r="D210" i="8" s="1"/>
  <c r="D211" i="8" s="1"/>
  <c r="D212" i="8" s="1"/>
  <c r="D213" i="8" s="1"/>
  <c r="D214" i="8" s="1"/>
  <c r="D215" i="8" s="1"/>
  <c r="D216" i="8" s="1"/>
  <c r="D217" i="8" s="1"/>
  <c r="D218" i="8" s="1"/>
  <c r="D219" i="8" s="1"/>
  <c r="D220" i="8" s="1"/>
  <c r="D221" i="8" s="1"/>
  <c r="D222" i="8" s="1"/>
  <c r="D223" i="8" s="1"/>
  <c r="D224" i="8" s="1"/>
  <c r="D225" i="8" s="1"/>
  <c r="D226" i="8" s="1"/>
  <c r="D227" i="8" s="1"/>
  <c r="D228" i="8" s="1"/>
  <c r="D229" i="8" s="1"/>
  <c r="D230" i="8" s="1"/>
  <c r="D231" i="8" s="1"/>
  <c r="D232" i="8" s="1"/>
  <c r="D233" i="8" s="1"/>
  <c r="D234" i="8" s="1"/>
  <c r="D235" i="8" s="1"/>
  <c r="D236" i="8" s="1"/>
  <c r="D237" i="8" s="1"/>
  <c r="D238" i="8" s="1"/>
  <c r="D239" i="8" s="1"/>
  <c r="D240" i="8" s="1"/>
  <c r="D241" i="8" s="1"/>
  <c r="D242" i="8" s="1"/>
  <c r="D243" i="8" s="1"/>
  <c r="D244" i="8" s="1"/>
  <c r="D245" i="8" s="1"/>
  <c r="D246" i="8" s="1"/>
  <c r="D247" i="8" s="1"/>
  <c r="D248" i="8" s="1"/>
  <c r="D249" i="8" s="1"/>
  <c r="D250" i="8" s="1"/>
  <c r="D251" i="8" s="1"/>
  <c r="D252" i="8" s="1"/>
  <c r="D253" i="8" s="1"/>
  <c r="D254" i="8" s="1"/>
  <c r="D255" i="8" s="1"/>
  <c r="D256" i="8" s="1"/>
  <c r="D257" i="8" s="1"/>
  <c r="D258" i="8" s="1"/>
  <c r="D259" i="8" s="1"/>
  <c r="D260" i="8" s="1"/>
  <c r="D261" i="8" s="1"/>
  <c r="D262" i="8" s="1"/>
  <c r="D263" i="8" s="1"/>
  <c r="D264" i="8" s="1"/>
  <c r="D265" i="8" s="1"/>
  <c r="D266" i="8" s="1"/>
  <c r="D267" i="8" s="1"/>
  <c r="D268" i="8" s="1"/>
  <c r="D269" i="8" s="1"/>
  <c r="D270" i="8" s="1"/>
  <c r="D271" i="8" s="1"/>
  <c r="D272" i="8" s="1"/>
  <c r="D273" i="8" s="1"/>
  <c r="D274" i="8" s="1"/>
  <c r="D275" i="8" s="1"/>
  <c r="D276" i="8" s="1"/>
  <c r="D277" i="8" s="1"/>
  <c r="D278" i="8" s="1"/>
  <c r="D279" i="8" s="1"/>
  <c r="D280" i="8" s="1"/>
  <c r="D281" i="8" s="1"/>
  <c r="D282" i="8" s="1"/>
  <c r="D283" i="8" s="1"/>
  <c r="D284" i="8" s="1"/>
  <c r="D285" i="8" s="1"/>
  <c r="D286" i="8" s="1"/>
  <c r="D287" i="8" s="1"/>
  <c r="D288" i="8" s="1"/>
  <c r="D289" i="8" s="1"/>
  <c r="D290" i="8" s="1"/>
  <c r="D291" i="8" s="1"/>
  <c r="D292" i="8" s="1"/>
  <c r="D293" i="8" s="1"/>
  <c r="D294" i="8" s="1"/>
  <c r="D295" i="8" s="1"/>
  <c r="D296" i="8" s="1"/>
  <c r="D297" i="8" s="1"/>
  <c r="D298" i="8" s="1"/>
  <c r="D299" i="8" s="1"/>
  <c r="D300" i="8" s="1"/>
  <c r="C147" i="10" l="1"/>
  <c r="B148" i="10"/>
  <c r="E148" i="10" s="1"/>
  <c r="G148" i="10" s="1"/>
  <c r="I148" i="10" s="1"/>
  <c r="D301" i="8"/>
  <c r="L72" i="12"/>
  <c r="H73" i="12" s="1"/>
  <c r="L21" i="9"/>
  <c r="L26" i="9" s="1"/>
  <c r="L27" i="9" s="1"/>
  <c r="L28" i="9" s="1"/>
  <c r="L8" i="9" s="1"/>
  <c r="J24" i="9"/>
  <c r="J26" i="9" s="1"/>
  <c r="J22" i="9"/>
  <c r="R49" i="8"/>
  <c r="E49" i="8" s="1"/>
  <c r="G49" i="8" s="1"/>
  <c r="T49" i="8"/>
  <c r="C49" i="8" s="1"/>
  <c r="C17" i="7"/>
  <c r="C18" i="7" s="1"/>
  <c r="T11" i="7"/>
  <c r="S12" i="7"/>
  <c r="R6" i="7"/>
  <c r="R5" i="7"/>
  <c r="M5" i="7"/>
  <c r="H17" i="7" s="1"/>
  <c r="H7" i="7"/>
  <c r="E17" i="6"/>
  <c r="C17" i="6"/>
  <c r="B17" i="6"/>
  <c r="P17" i="6" s="1"/>
  <c r="Q17" i="6" s="1"/>
  <c r="C148" i="10" l="1"/>
  <c r="B149" i="10"/>
  <c r="E149" i="10" s="1"/>
  <c r="G149" i="10" s="1"/>
  <c r="I149" i="10" s="1"/>
  <c r="D302" i="8"/>
  <c r="S73" i="12"/>
  <c r="N72" i="12"/>
  <c r="D73" i="12" s="1"/>
  <c r="J73" i="12"/>
  <c r="Q72" i="12"/>
  <c r="T12" i="7"/>
  <c r="J17" i="8"/>
  <c r="R14" i="8"/>
  <c r="V17" i="7"/>
  <c r="M6" i="7"/>
  <c r="M10" i="7" s="1"/>
  <c r="S13" i="7"/>
  <c r="F17" i="7"/>
  <c r="F18" i="7" s="1"/>
  <c r="H18" i="7" s="1"/>
  <c r="C19" i="7"/>
  <c r="B18" i="7"/>
  <c r="V18" i="7"/>
  <c r="J27" i="9"/>
  <c r="J28" i="9" s="1"/>
  <c r="J8" i="9" s="1"/>
  <c r="S49" i="8"/>
  <c r="G17" i="6"/>
  <c r="C149" i="10" l="1"/>
  <c r="B150" i="10"/>
  <c r="E150" i="10" s="1"/>
  <c r="G150" i="10" s="1"/>
  <c r="I150" i="10" s="1"/>
  <c r="L17" i="8"/>
  <c r="N17" i="8" s="1"/>
  <c r="D303" i="8"/>
  <c r="D17" i="7"/>
  <c r="J17" i="7" s="1"/>
  <c r="L17" i="7" s="1"/>
  <c r="D18" i="7" s="1"/>
  <c r="J18" i="7" s="1"/>
  <c r="L18" i="7" s="1"/>
  <c r="D19" i="7" s="1"/>
  <c r="M9" i="7"/>
  <c r="S14" i="7"/>
  <c r="T13" i="7"/>
  <c r="L73" i="12"/>
  <c r="V19" i="7"/>
  <c r="F19" i="7"/>
  <c r="H19" i="7" s="1"/>
  <c r="C20" i="7"/>
  <c r="B19" i="7"/>
  <c r="H49" i="8"/>
  <c r="T50" i="8"/>
  <c r="C50" i="8" s="1"/>
  <c r="R50" i="8"/>
  <c r="E50" i="8" s="1"/>
  <c r="G50" i="8" s="1"/>
  <c r="J19" i="7" l="1"/>
  <c r="L19" i="7" s="1"/>
  <c r="D20" i="7" s="1"/>
  <c r="S74" i="12"/>
  <c r="H74" i="12"/>
  <c r="J74" i="12" s="1"/>
  <c r="C150" i="10"/>
  <c r="B151" i="10"/>
  <c r="E151" i="10" s="1"/>
  <c r="G151" i="10" s="1"/>
  <c r="I151" i="10" s="1"/>
  <c r="D304" i="8"/>
  <c r="S15" i="7"/>
  <c r="S16" i="7" s="1"/>
  <c r="S17" i="7" s="1"/>
  <c r="S18" i="7" s="1"/>
  <c r="S19" i="7" s="1"/>
  <c r="S20" i="7" s="1"/>
  <c r="S21" i="7" s="1"/>
  <c r="S22" i="7" s="1"/>
  <c r="S23" i="7" s="1"/>
  <c r="S24" i="7" s="1"/>
  <c r="S25" i="7" s="1"/>
  <c r="S26" i="7" s="1"/>
  <c r="S27" i="7" s="1"/>
  <c r="S28" i="7" s="1"/>
  <c r="S29" i="7" s="1"/>
  <c r="S30" i="7" s="1"/>
  <c r="S31" i="7" s="1"/>
  <c r="T14" i="7"/>
  <c r="N73" i="12"/>
  <c r="D74" i="12" s="1"/>
  <c r="Q73" i="12"/>
  <c r="C21" i="7"/>
  <c r="V20" i="7"/>
  <c r="F20" i="7"/>
  <c r="B20" i="7"/>
  <c r="S50" i="8"/>
  <c r="H50" i="8" s="1"/>
  <c r="L74" i="12" l="1"/>
  <c r="H75" i="12" s="1"/>
  <c r="J20" i="7"/>
  <c r="L20" i="7" s="1"/>
  <c r="D21" i="7" s="1"/>
  <c r="C151" i="10"/>
  <c r="B152" i="10"/>
  <c r="E152" i="10" s="1"/>
  <c r="G152" i="10" s="1"/>
  <c r="I152" i="10" s="1"/>
  <c r="D305" i="8"/>
  <c r="T15" i="7"/>
  <c r="T16" i="7" s="1"/>
  <c r="T17" i="7" s="1"/>
  <c r="T18" i="7" s="1"/>
  <c r="T19" i="7" s="1"/>
  <c r="T20" i="7" s="1"/>
  <c r="T21" i="7" s="1"/>
  <c r="T22" i="7" s="1"/>
  <c r="T23" i="7" s="1"/>
  <c r="T24" i="7" s="1"/>
  <c r="T25" i="7" s="1"/>
  <c r="T26" i="7" s="1"/>
  <c r="T27" i="7" s="1"/>
  <c r="T28" i="7" s="1"/>
  <c r="T29" i="7" s="1"/>
  <c r="T30" i="7" s="1"/>
  <c r="M11" i="7" s="1"/>
  <c r="S32" i="7"/>
  <c r="S33" i="7" s="1"/>
  <c r="S34" i="7" s="1"/>
  <c r="S35" i="7" s="1"/>
  <c r="S36" i="7" s="1"/>
  <c r="S37" i="7" s="1"/>
  <c r="S38" i="7" s="1"/>
  <c r="S39" i="7" s="1"/>
  <c r="S40" i="7" s="1"/>
  <c r="S41" i="7" s="1"/>
  <c r="S42" i="7" s="1"/>
  <c r="S43" i="7" s="1"/>
  <c r="S44" i="7" s="1"/>
  <c r="S45" i="7" s="1"/>
  <c r="S46" i="7" s="1"/>
  <c r="S47" i="7" s="1"/>
  <c r="S48" i="7" s="1"/>
  <c r="S49" i="7" s="1"/>
  <c r="S50" i="7" s="1"/>
  <c r="S51" i="7" s="1"/>
  <c r="S52" i="7" s="1"/>
  <c r="S53" i="7" s="1"/>
  <c r="S54" i="7" s="1"/>
  <c r="S55" i="7" s="1"/>
  <c r="S56" i="7" s="1"/>
  <c r="S57" i="7" s="1"/>
  <c r="S58" i="7" s="1"/>
  <c r="S59" i="7" s="1"/>
  <c r="S60" i="7" s="1"/>
  <c r="C22" i="7"/>
  <c r="V21" i="7"/>
  <c r="F21" i="7"/>
  <c r="B21" i="7"/>
  <c r="H20" i="7"/>
  <c r="T51" i="8"/>
  <c r="C51" i="8" s="1"/>
  <c r="R51" i="8"/>
  <c r="E51" i="8" s="1"/>
  <c r="G51" i="8" s="1"/>
  <c r="J21" i="7" l="1"/>
  <c r="L21" i="7" s="1"/>
  <c r="D22" i="7" s="1"/>
  <c r="S75" i="12"/>
  <c r="N74" i="12"/>
  <c r="D75" i="12" s="1"/>
  <c r="L75" i="12" s="1"/>
  <c r="J75" i="12"/>
  <c r="Q74" i="12"/>
  <c r="C152" i="10"/>
  <c r="B153" i="10"/>
  <c r="E153" i="10" s="1"/>
  <c r="G153" i="10" s="1"/>
  <c r="I153" i="10" s="1"/>
  <c r="D306" i="8"/>
  <c r="T31" i="7"/>
  <c r="T32" i="7" s="1"/>
  <c r="T33" i="7" s="1"/>
  <c r="T34" i="7" s="1"/>
  <c r="T35" i="7" s="1"/>
  <c r="T36" i="7" s="1"/>
  <c r="T37" i="7" s="1"/>
  <c r="T38" i="7" s="1"/>
  <c r="T39" i="7" s="1"/>
  <c r="T40" i="7" s="1"/>
  <c r="T41" i="7" s="1"/>
  <c r="T42" i="7" s="1"/>
  <c r="T43" i="7" s="1"/>
  <c r="T44" i="7" s="1"/>
  <c r="T45" i="7" s="1"/>
  <c r="T46" i="7" s="1"/>
  <c r="T47" i="7" s="1"/>
  <c r="T48" i="7" s="1"/>
  <c r="T49" i="7" s="1"/>
  <c r="T50" i="7" s="1"/>
  <c r="T51" i="7" s="1"/>
  <c r="T52" i="7" s="1"/>
  <c r="T53" i="7" s="1"/>
  <c r="T54" i="7" s="1"/>
  <c r="T55" i="7" s="1"/>
  <c r="T56" i="7" s="1"/>
  <c r="T57" i="7" s="1"/>
  <c r="T58" i="7" s="1"/>
  <c r="T59" i="7" s="1"/>
  <c r="T60" i="7" s="1"/>
  <c r="B22" i="7"/>
  <c r="C23" i="7"/>
  <c r="V22" i="7"/>
  <c r="F22" i="7"/>
  <c r="H21" i="7"/>
  <c r="S51" i="8"/>
  <c r="R52" i="8" s="1"/>
  <c r="E52" i="8" s="1"/>
  <c r="G52" i="8" s="1"/>
  <c r="J22" i="7" l="1"/>
  <c r="L22" i="7" s="1"/>
  <c r="D23" i="7" s="1"/>
  <c r="S76" i="12"/>
  <c r="H76" i="12"/>
  <c r="C153" i="10"/>
  <c r="B154" i="10"/>
  <c r="E154" i="10" s="1"/>
  <c r="G154" i="10" s="1"/>
  <c r="I154" i="10" s="1"/>
  <c r="D307" i="8"/>
  <c r="B23" i="7"/>
  <c r="F23" i="7"/>
  <c r="H23" i="7" s="1"/>
  <c r="N75" i="12"/>
  <c r="Q75" i="12"/>
  <c r="H22" i="7"/>
  <c r="C24" i="7"/>
  <c r="V23" i="7"/>
  <c r="T52" i="8"/>
  <c r="C52" i="8" s="1"/>
  <c r="H51" i="8"/>
  <c r="S52" i="8"/>
  <c r="J23" i="7" l="1"/>
  <c r="L23" i="7" s="1"/>
  <c r="D24" i="7" s="1"/>
  <c r="C154" i="10"/>
  <c r="B155" i="10"/>
  <c r="E155" i="10" s="1"/>
  <c r="G155" i="10" s="1"/>
  <c r="I155" i="10" s="1"/>
  <c r="D308" i="8"/>
  <c r="J76" i="12"/>
  <c r="D76" i="12"/>
  <c r="L76" i="12" s="1"/>
  <c r="C25" i="7"/>
  <c r="V24" i="7"/>
  <c r="F24" i="7"/>
  <c r="B24" i="7"/>
  <c r="H52" i="8"/>
  <c r="R53" i="8"/>
  <c r="E53" i="8" s="1"/>
  <c r="G53" i="8" s="1"/>
  <c r="T53" i="8"/>
  <c r="C53" i="8" s="1"/>
  <c r="J24" i="7" l="1"/>
  <c r="L24" i="7" s="1"/>
  <c r="D25" i="7" s="1"/>
  <c r="S77" i="12"/>
  <c r="H77" i="12"/>
  <c r="C155" i="10"/>
  <c r="B156" i="10"/>
  <c r="E156" i="10" s="1"/>
  <c r="G156" i="10" s="1"/>
  <c r="I156" i="10" s="1"/>
  <c r="D309" i="8"/>
  <c r="F25" i="7"/>
  <c r="H25" i="7" s="1"/>
  <c r="B25" i="7"/>
  <c r="N76" i="12"/>
  <c r="Q76" i="12"/>
  <c r="H24" i="7"/>
  <c r="C26" i="7"/>
  <c r="V25" i="7"/>
  <c r="S53" i="8"/>
  <c r="J25" i="7" l="1"/>
  <c r="L25" i="7" s="1"/>
  <c r="D26" i="7" s="1"/>
  <c r="C156" i="10"/>
  <c r="B157" i="10"/>
  <c r="E157" i="10" s="1"/>
  <c r="G157" i="10" s="1"/>
  <c r="I157" i="10" s="1"/>
  <c r="D310" i="8"/>
  <c r="B26" i="7"/>
  <c r="J77" i="12"/>
  <c r="D77" i="12"/>
  <c r="C27" i="7"/>
  <c r="V26" i="7"/>
  <c r="F26" i="7"/>
  <c r="H53" i="8"/>
  <c r="T54" i="8"/>
  <c r="C54" i="8" s="1"/>
  <c r="R54" i="8"/>
  <c r="E54" i="8" s="1"/>
  <c r="G54" i="8" s="1"/>
  <c r="J26" i="7" l="1"/>
  <c r="L26" i="7" s="1"/>
  <c r="D27" i="7" s="1"/>
  <c r="C157" i="10"/>
  <c r="B158" i="10"/>
  <c r="E158" i="10" s="1"/>
  <c r="G158" i="10" s="1"/>
  <c r="I158" i="10" s="1"/>
  <c r="D311" i="8"/>
  <c r="F27" i="7"/>
  <c r="H27" i="7" s="1"/>
  <c r="L77" i="12"/>
  <c r="H26" i="7"/>
  <c r="C28" i="7"/>
  <c r="V27" i="7"/>
  <c r="B27" i="7"/>
  <c r="S54" i="8"/>
  <c r="R55" i="8" s="1"/>
  <c r="E55" i="8" s="1"/>
  <c r="G55" i="8" s="1"/>
  <c r="J27" i="7" l="1"/>
  <c r="L27" i="7" s="1"/>
  <c r="D28" i="7" s="1"/>
  <c r="S78" i="12"/>
  <c r="H78" i="12"/>
  <c r="J78" i="12" s="1"/>
  <c r="C158" i="10"/>
  <c r="B159" i="10"/>
  <c r="E159" i="10" s="1"/>
  <c r="G159" i="10" s="1"/>
  <c r="I159" i="10" s="1"/>
  <c r="D312" i="8"/>
  <c r="F28" i="7"/>
  <c r="H28" i="7" s="1"/>
  <c r="T55" i="8"/>
  <c r="C55" i="8" s="1"/>
  <c r="H54" i="8"/>
  <c r="B28" i="7"/>
  <c r="N77" i="12"/>
  <c r="D78" i="12" s="1"/>
  <c r="Q77" i="12"/>
  <c r="C29" i="7"/>
  <c r="V28" i="7"/>
  <c r="S55" i="8"/>
  <c r="J28" i="7" l="1"/>
  <c r="L28" i="7" s="1"/>
  <c r="D29" i="7" s="1"/>
  <c r="C159" i="10"/>
  <c r="B160" i="10"/>
  <c r="E160" i="10" s="1"/>
  <c r="G160" i="10" s="1"/>
  <c r="I160" i="10" s="1"/>
  <c r="D313" i="8"/>
  <c r="L78" i="12"/>
  <c r="H79" i="12" s="1"/>
  <c r="C30" i="7"/>
  <c r="V29" i="7"/>
  <c r="B29" i="7"/>
  <c r="F29" i="7"/>
  <c r="H29" i="7" s="1"/>
  <c r="H55" i="8"/>
  <c r="T56" i="8"/>
  <c r="C56" i="8" s="1"/>
  <c r="R56" i="8"/>
  <c r="E56" i="8" s="1"/>
  <c r="G56" i="8" s="1"/>
  <c r="J29" i="7" l="1"/>
  <c r="L29" i="7" s="1"/>
  <c r="D30" i="7" s="1"/>
  <c r="C160" i="10"/>
  <c r="B161" i="10"/>
  <c r="E161" i="10" s="1"/>
  <c r="G161" i="10" s="1"/>
  <c r="I161" i="10" s="1"/>
  <c r="D314" i="8"/>
  <c r="S79" i="12"/>
  <c r="Q78" i="12"/>
  <c r="N78" i="12"/>
  <c r="D79" i="12" s="1"/>
  <c r="J79" i="12"/>
  <c r="F30" i="7"/>
  <c r="H30" i="7" s="1"/>
  <c r="B30" i="7"/>
  <c r="C31" i="7"/>
  <c r="V30" i="7"/>
  <c r="S56" i="8"/>
  <c r="J30" i="7" l="1"/>
  <c r="L30" i="7" s="1"/>
  <c r="D31" i="7" s="1"/>
  <c r="C161" i="10"/>
  <c r="B162" i="10"/>
  <c r="E162" i="10" s="1"/>
  <c r="G162" i="10" s="1"/>
  <c r="I162" i="10" s="1"/>
  <c r="D315" i="8"/>
  <c r="L79" i="12"/>
  <c r="H80" i="12" s="1"/>
  <c r="C32" i="7"/>
  <c r="V31" i="7"/>
  <c r="F31" i="7"/>
  <c r="B31" i="7"/>
  <c r="H56" i="8"/>
  <c r="T57" i="8"/>
  <c r="C57" i="8" s="1"/>
  <c r="R57" i="8"/>
  <c r="E57" i="8" s="1"/>
  <c r="G57" i="8" s="1"/>
  <c r="J31" i="7" l="1"/>
  <c r="L31" i="7" s="1"/>
  <c r="D32" i="7" s="1"/>
  <c r="C162" i="10"/>
  <c r="B163" i="10"/>
  <c r="E163" i="10" s="1"/>
  <c r="G163" i="10" s="1"/>
  <c r="I163" i="10" s="1"/>
  <c r="D316" i="8"/>
  <c r="S80" i="12"/>
  <c r="J80" i="12"/>
  <c r="N79" i="12"/>
  <c r="D80" i="12" s="1"/>
  <c r="Q79" i="12"/>
  <c r="B32" i="7"/>
  <c r="C33" i="7"/>
  <c r="V32" i="7"/>
  <c r="F32" i="7"/>
  <c r="H31" i="7"/>
  <c r="S57" i="8"/>
  <c r="J32" i="7" l="1"/>
  <c r="L32" i="7" s="1"/>
  <c r="D33" i="7" s="1"/>
  <c r="C163" i="10"/>
  <c r="B164" i="10"/>
  <c r="E164" i="10" s="1"/>
  <c r="G164" i="10" s="1"/>
  <c r="I164" i="10" s="1"/>
  <c r="D317" i="8"/>
  <c r="F33" i="7"/>
  <c r="H33" i="7" s="1"/>
  <c r="B33" i="7"/>
  <c r="L80" i="12"/>
  <c r="H32" i="7"/>
  <c r="C34" i="7"/>
  <c r="V33" i="7"/>
  <c r="H57" i="8"/>
  <c r="T58" i="8"/>
  <c r="C58" i="8" s="1"/>
  <c r="R58" i="8"/>
  <c r="E58" i="8" s="1"/>
  <c r="G58" i="8" s="1"/>
  <c r="S81" i="12" l="1"/>
  <c r="H81" i="12"/>
  <c r="J81" i="12" s="1"/>
  <c r="J33" i="7"/>
  <c r="L33" i="7" s="1"/>
  <c r="D34" i="7" s="1"/>
  <c r="C164" i="10"/>
  <c r="B165" i="10"/>
  <c r="E165" i="10" s="1"/>
  <c r="G165" i="10" s="1"/>
  <c r="I165" i="10" s="1"/>
  <c r="D318" i="8"/>
  <c r="N80" i="12"/>
  <c r="D81" i="12" s="1"/>
  <c r="Q80" i="12"/>
  <c r="C35" i="7"/>
  <c r="V34" i="7"/>
  <c r="B34" i="7"/>
  <c r="F34" i="7"/>
  <c r="S58" i="8"/>
  <c r="J34" i="7" l="1"/>
  <c r="L34" i="7" s="1"/>
  <c r="D35" i="7" s="1"/>
  <c r="C165" i="10"/>
  <c r="B166" i="10"/>
  <c r="E166" i="10" s="1"/>
  <c r="G166" i="10" s="1"/>
  <c r="I166" i="10" s="1"/>
  <c r="D319" i="8"/>
  <c r="F35" i="7"/>
  <c r="H35" i="7" s="1"/>
  <c r="L81" i="12"/>
  <c r="B35" i="7"/>
  <c r="H34" i="7"/>
  <c r="C36" i="7"/>
  <c r="V35" i="7"/>
  <c r="H58" i="8"/>
  <c r="T59" i="8"/>
  <c r="C59" i="8" s="1"/>
  <c r="R59" i="8"/>
  <c r="E59" i="8" s="1"/>
  <c r="G59" i="8" s="1"/>
  <c r="J35" i="7" l="1"/>
  <c r="L35" i="7" s="1"/>
  <c r="D36" i="7" s="1"/>
  <c r="S82" i="12"/>
  <c r="H82" i="12"/>
  <c r="J82" i="12" s="1"/>
  <c r="C166" i="10"/>
  <c r="B167" i="10"/>
  <c r="E167" i="10" s="1"/>
  <c r="G167" i="10" s="1"/>
  <c r="I167" i="10" s="1"/>
  <c r="D320" i="8"/>
  <c r="N81" i="12"/>
  <c r="D82" i="12" s="1"/>
  <c r="Q81" i="12"/>
  <c r="C37" i="7"/>
  <c r="V36" i="7"/>
  <c r="F36" i="7"/>
  <c r="H36" i="7" s="1"/>
  <c r="B36" i="7"/>
  <c r="S59" i="8"/>
  <c r="J36" i="7" l="1"/>
  <c r="C167" i="10"/>
  <c r="B168" i="10"/>
  <c r="E168" i="10" s="1"/>
  <c r="G168" i="10" s="1"/>
  <c r="I168" i="10" s="1"/>
  <c r="D321" i="8"/>
  <c r="L82" i="12"/>
  <c r="L36" i="7"/>
  <c r="D37" i="7" s="1"/>
  <c r="C38" i="7"/>
  <c r="F37" i="7"/>
  <c r="H37" i="7" s="1"/>
  <c r="V37" i="7"/>
  <c r="B37" i="7"/>
  <c r="H59" i="8"/>
  <c r="T60" i="8"/>
  <c r="C60" i="8" s="1"/>
  <c r="R60" i="8"/>
  <c r="F60" i="8" s="1"/>
  <c r="G60" i="8" s="1"/>
  <c r="J37" i="7" l="1"/>
  <c r="L37" i="7" s="1"/>
  <c r="D38" i="7" s="1"/>
  <c r="S83" i="12"/>
  <c r="H83" i="12"/>
  <c r="C168" i="10"/>
  <c r="B169" i="10"/>
  <c r="E169" i="10" s="1"/>
  <c r="G169" i="10" s="1"/>
  <c r="I169" i="10" s="1"/>
  <c r="D322" i="8"/>
  <c r="N82" i="12"/>
  <c r="Q82" i="12"/>
  <c r="C39" i="7"/>
  <c r="V38" i="7"/>
  <c r="B38" i="7"/>
  <c r="F38" i="7"/>
  <c r="H38" i="7" s="1"/>
  <c r="G19" i="10"/>
  <c r="N16" i="10" s="1"/>
  <c r="S60" i="8"/>
  <c r="J38" i="7" l="1"/>
  <c r="L38" i="7" s="1"/>
  <c r="D39" i="7" s="1"/>
  <c r="K27" i="10"/>
  <c r="C169" i="10"/>
  <c r="B170" i="10"/>
  <c r="E170" i="10" s="1"/>
  <c r="G170" i="10" s="1"/>
  <c r="I170" i="10" s="1"/>
  <c r="D323" i="8"/>
  <c r="J83" i="12"/>
  <c r="D83" i="12"/>
  <c r="C40" i="7"/>
  <c r="B39" i="7"/>
  <c r="V39" i="7"/>
  <c r="F39" i="7"/>
  <c r="H39" i="7" s="1"/>
  <c r="H60" i="8"/>
  <c r="T61" i="8"/>
  <c r="R61" i="8"/>
  <c r="F61" i="8" s="1"/>
  <c r="G61" i="8" s="1"/>
  <c r="J39" i="7" l="1"/>
  <c r="L39" i="7" s="1"/>
  <c r="D40" i="7" s="1"/>
  <c r="M27" i="10"/>
  <c r="K28" i="10"/>
  <c r="C170" i="10"/>
  <c r="B171" i="10"/>
  <c r="E171" i="10" s="1"/>
  <c r="G171" i="10" s="1"/>
  <c r="I171" i="10" s="1"/>
  <c r="C61" i="8"/>
  <c r="D324" i="8"/>
  <c r="L83" i="12"/>
  <c r="C41" i="7"/>
  <c r="V40" i="7"/>
  <c r="B40" i="7"/>
  <c r="F40" i="7"/>
  <c r="H40" i="7" s="1"/>
  <c r="S61" i="8"/>
  <c r="T62" i="8" s="1"/>
  <c r="C62" i="8" s="1"/>
  <c r="S84" i="12" l="1"/>
  <c r="H84" i="12"/>
  <c r="J84" i="12" s="1"/>
  <c r="J40" i="7"/>
  <c r="L40" i="7" s="1"/>
  <c r="D41" i="7" s="1"/>
  <c r="K29" i="10"/>
  <c r="M28" i="10"/>
  <c r="C171" i="10"/>
  <c r="B172" i="10"/>
  <c r="E172" i="10" s="1"/>
  <c r="G172" i="10" s="1"/>
  <c r="I172" i="10" s="1"/>
  <c r="D325" i="8"/>
  <c r="N83" i="12"/>
  <c r="D84" i="12" s="1"/>
  <c r="Q83" i="12"/>
  <c r="C42" i="7"/>
  <c r="J42" i="7" s="1"/>
  <c r="F41" i="7"/>
  <c r="H41" i="7" s="1"/>
  <c r="V41" i="7"/>
  <c r="B41" i="7"/>
  <c r="R62" i="8"/>
  <c r="F62" i="8" s="1"/>
  <c r="G62" i="8" s="1"/>
  <c r="H61" i="8"/>
  <c r="J41" i="7" l="1"/>
  <c r="L41" i="7" s="1"/>
  <c r="D42" i="7" s="1"/>
  <c r="M29" i="10"/>
  <c r="K30" i="10"/>
  <c r="C172" i="10"/>
  <c r="B173" i="10"/>
  <c r="E173" i="10" s="1"/>
  <c r="G173" i="10" s="1"/>
  <c r="I173" i="10" s="1"/>
  <c r="D326" i="8"/>
  <c r="L84" i="12"/>
  <c r="S62" i="8"/>
  <c r="T63" i="8" s="1"/>
  <c r="C43" i="7"/>
  <c r="J43" i="7" s="1"/>
  <c r="B42" i="7"/>
  <c r="F42" i="7"/>
  <c r="H42" i="7" s="1"/>
  <c r="V42" i="7"/>
  <c r="N84" i="12" l="1"/>
  <c r="D85" i="12" s="1"/>
  <c r="H85" i="12"/>
  <c r="J85" i="12" s="1"/>
  <c r="M30" i="10"/>
  <c r="K31" i="10"/>
  <c r="C173" i="10"/>
  <c r="B174" i="10"/>
  <c r="E174" i="10" s="1"/>
  <c r="G174" i="10" s="1"/>
  <c r="I174" i="10" s="1"/>
  <c r="C63" i="8"/>
  <c r="D327" i="8"/>
  <c r="S85" i="12"/>
  <c r="Q84" i="12"/>
  <c r="H62" i="8"/>
  <c r="L42" i="7"/>
  <c r="D43" i="7" s="1"/>
  <c r="R63" i="8"/>
  <c r="F63" i="8" s="1"/>
  <c r="G63" i="8" s="1"/>
  <c r="C44" i="7"/>
  <c r="J44" i="7" s="1"/>
  <c r="F43" i="7"/>
  <c r="H43" i="7" s="1"/>
  <c r="V43" i="7"/>
  <c r="B43" i="7"/>
  <c r="M31" i="10" l="1"/>
  <c r="K32" i="10"/>
  <c r="C174" i="10"/>
  <c r="B175" i="10"/>
  <c r="E175" i="10" s="1"/>
  <c r="G175" i="10" s="1"/>
  <c r="I175" i="10" s="1"/>
  <c r="D328" i="8"/>
  <c r="L85" i="12"/>
  <c r="S63" i="8"/>
  <c r="R64" i="8" s="1"/>
  <c r="F64" i="8" s="1"/>
  <c r="G64" i="8" s="1"/>
  <c r="L43" i="7"/>
  <c r="D44" i="7" s="1"/>
  <c r="C45" i="7"/>
  <c r="J45" i="7" s="1"/>
  <c r="F44" i="7"/>
  <c r="H44" i="7" s="1"/>
  <c r="V44" i="7"/>
  <c r="B44" i="7"/>
  <c r="N85" i="12" l="1"/>
  <c r="D86" i="12" s="1"/>
  <c r="H86" i="12"/>
  <c r="J86" i="12" s="1"/>
  <c r="Q85" i="12"/>
  <c r="M32" i="10"/>
  <c r="K33" i="10"/>
  <c r="C175" i="10"/>
  <c r="B176" i="10"/>
  <c r="E176" i="10" s="1"/>
  <c r="G176" i="10" s="1"/>
  <c r="I176" i="10" s="1"/>
  <c r="D329" i="8"/>
  <c r="S86" i="12"/>
  <c r="S64" i="8"/>
  <c r="T64" i="8"/>
  <c r="H63" i="8"/>
  <c r="L44" i="7"/>
  <c r="D45" i="7" s="1"/>
  <c r="C46" i="7"/>
  <c r="J46" i="7" s="1"/>
  <c r="F45" i="7"/>
  <c r="H45" i="7" s="1"/>
  <c r="V45" i="7"/>
  <c r="B45" i="7"/>
  <c r="M33" i="10" l="1"/>
  <c r="K34" i="10"/>
  <c r="C176" i="10"/>
  <c r="B177" i="10"/>
  <c r="E177" i="10" s="1"/>
  <c r="G177" i="10" s="1"/>
  <c r="I177" i="10" s="1"/>
  <c r="C64" i="8"/>
  <c r="D330" i="8"/>
  <c r="L86" i="12"/>
  <c r="H87" i="12" s="1"/>
  <c r="H64" i="8"/>
  <c r="T65" i="8"/>
  <c r="C65" i="8" s="1"/>
  <c r="R65" i="8"/>
  <c r="F65" i="8" s="1"/>
  <c r="G65" i="8" s="1"/>
  <c r="L45" i="7"/>
  <c r="D46" i="7" s="1"/>
  <c r="C47" i="7"/>
  <c r="J47" i="7" s="1"/>
  <c r="B46" i="7"/>
  <c r="F46" i="7"/>
  <c r="H46" i="7" s="1"/>
  <c r="V46" i="7"/>
  <c r="M34" i="10" l="1"/>
  <c r="K35" i="10"/>
  <c r="C177" i="10"/>
  <c r="B178" i="10"/>
  <c r="E178" i="10" s="1"/>
  <c r="G178" i="10" s="1"/>
  <c r="I178" i="10" s="1"/>
  <c r="D331" i="8"/>
  <c r="J87" i="12"/>
  <c r="Q86" i="12"/>
  <c r="S87" i="12"/>
  <c r="N86" i="12"/>
  <c r="D87" i="12" s="1"/>
  <c r="L87" i="12" s="1"/>
  <c r="S65" i="8"/>
  <c r="L46" i="7"/>
  <c r="D47" i="7" s="1"/>
  <c r="C48" i="7"/>
  <c r="J48" i="7" s="1"/>
  <c r="F47" i="7"/>
  <c r="H47" i="7" s="1"/>
  <c r="B47" i="7"/>
  <c r="V47" i="7"/>
  <c r="S88" i="12" l="1"/>
  <c r="H88" i="12"/>
  <c r="M35" i="10"/>
  <c r="K36" i="10"/>
  <c r="C178" i="10"/>
  <c r="B179" i="10"/>
  <c r="E179" i="10" s="1"/>
  <c r="G179" i="10" s="1"/>
  <c r="I179" i="10" s="1"/>
  <c r="D332" i="8"/>
  <c r="H65" i="8"/>
  <c r="T66" i="8"/>
  <c r="R66" i="8"/>
  <c r="F66" i="8" s="1"/>
  <c r="G66" i="8" s="1"/>
  <c r="L47" i="7"/>
  <c r="D48" i="7" s="1"/>
  <c r="N87" i="12"/>
  <c r="Q87" i="12"/>
  <c r="C49" i="7"/>
  <c r="J49" i="7" s="1"/>
  <c r="V48" i="7"/>
  <c r="B48" i="7"/>
  <c r="F48" i="7"/>
  <c r="H48" i="7" s="1"/>
  <c r="M36" i="10" l="1"/>
  <c r="K37" i="10"/>
  <c r="C179" i="10"/>
  <c r="B180" i="10"/>
  <c r="E180" i="10" s="1"/>
  <c r="G180" i="10" s="1"/>
  <c r="I180" i="10" s="1"/>
  <c r="C66" i="8"/>
  <c r="D333" i="8"/>
  <c r="S66" i="8"/>
  <c r="L48" i="7"/>
  <c r="D49" i="7" s="1"/>
  <c r="J88" i="12"/>
  <c r="D88" i="12"/>
  <c r="L88" i="12" s="1"/>
  <c r="C50" i="7"/>
  <c r="J50" i="7" s="1"/>
  <c r="F49" i="7"/>
  <c r="H49" i="7" s="1"/>
  <c r="V49" i="7"/>
  <c r="B49" i="7"/>
  <c r="S89" i="12" l="1"/>
  <c r="H89" i="12"/>
  <c r="M37" i="10"/>
  <c r="K38" i="10"/>
  <c r="C180" i="10"/>
  <c r="B181" i="10"/>
  <c r="E181" i="10" s="1"/>
  <c r="G181" i="10" s="1"/>
  <c r="I181" i="10" s="1"/>
  <c r="D334" i="8"/>
  <c r="H66" i="8"/>
  <c r="T67" i="8"/>
  <c r="C67" i="8" s="1"/>
  <c r="R67" i="8"/>
  <c r="F67" i="8" s="1"/>
  <c r="G67" i="8" s="1"/>
  <c r="L49" i="7"/>
  <c r="D50" i="7" s="1"/>
  <c r="N88" i="12"/>
  <c r="Q88" i="12"/>
  <c r="C51" i="7"/>
  <c r="J51" i="7" s="1"/>
  <c r="F50" i="7"/>
  <c r="H50" i="7" s="1"/>
  <c r="V50" i="7"/>
  <c r="B50" i="7"/>
  <c r="M38" i="10" l="1"/>
  <c r="K39" i="10"/>
  <c r="C181" i="10"/>
  <c r="B182" i="10"/>
  <c r="E182" i="10" s="1"/>
  <c r="G182" i="10" s="1"/>
  <c r="I182" i="10" s="1"/>
  <c r="S67" i="8"/>
  <c r="D335" i="8"/>
  <c r="L50" i="7"/>
  <c r="D51" i="7" s="1"/>
  <c r="J89" i="12"/>
  <c r="D89" i="12"/>
  <c r="L89" i="12" s="1"/>
  <c r="C52" i="7"/>
  <c r="J52" i="7" s="1"/>
  <c r="B51" i="7"/>
  <c r="F51" i="7"/>
  <c r="H51" i="7" s="1"/>
  <c r="V51" i="7"/>
  <c r="S90" i="12" l="1"/>
  <c r="H90" i="12"/>
  <c r="M39" i="10"/>
  <c r="K40" i="10"/>
  <c r="C182" i="10"/>
  <c r="B183" i="10"/>
  <c r="E183" i="10" s="1"/>
  <c r="G183" i="10" s="1"/>
  <c r="I183" i="10" s="1"/>
  <c r="R68" i="8"/>
  <c r="F68" i="8" s="1"/>
  <c r="G68" i="8" s="1"/>
  <c r="H67" i="8"/>
  <c r="T68" i="8"/>
  <c r="C68" i="8" s="1"/>
  <c r="D336" i="8"/>
  <c r="L51" i="7"/>
  <c r="D52" i="7" s="1"/>
  <c r="N89" i="12"/>
  <c r="Q89" i="12"/>
  <c r="C53" i="7"/>
  <c r="J53" i="7" s="1"/>
  <c r="F52" i="7"/>
  <c r="H52" i="7" s="1"/>
  <c r="V52" i="7"/>
  <c r="B52" i="7"/>
  <c r="M40" i="10" l="1"/>
  <c r="K41" i="10"/>
  <c r="C183" i="10"/>
  <c r="B184" i="10"/>
  <c r="E184" i="10" s="1"/>
  <c r="G184" i="10" s="1"/>
  <c r="I184" i="10" s="1"/>
  <c r="S68" i="8"/>
  <c r="D337" i="8"/>
  <c r="L52" i="7"/>
  <c r="D53" i="7" s="1"/>
  <c r="J90" i="12"/>
  <c r="D90" i="12"/>
  <c r="C54" i="7"/>
  <c r="J54" i="7" s="1"/>
  <c r="B53" i="7"/>
  <c r="F53" i="7"/>
  <c r="H53" i="7" s="1"/>
  <c r="V53" i="7"/>
  <c r="M41" i="10" l="1"/>
  <c r="K42" i="10"/>
  <c r="C184" i="10"/>
  <c r="B185" i="10"/>
  <c r="E185" i="10" s="1"/>
  <c r="G185" i="10" s="1"/>
  <c r="I185" i="10" s="1"/>
  <c r="H68" i="8"/>
  <c r="R69" i="8"/>
  <c r="F69" i="8" s="1"/>
  <c r="G69" i="8" s="1"/>
  <c r="T69" i="8"/>
  <c r="C69" i="8" s="1"/>
  <c r="D338" i="8"/>
  <c r="L53" i="7"/>
  <c r="D54" i="7" s="1"/>
  <c r="L90" i="12"/>
  <c r="C55" i="7"/>
  <c r="J55" i="7" s="1"/>
  <c r="B54" i="7"/>
  <c r="V54" i="7"/>
  <c r="F54" i="7"/>
  <c r="S69" i="8" l="1"/>
  <c r="R70" i="8" s="1"/>
  <c r="F70" i="8" s="1"/>
  <c r="G70" i="8" s="1"/>
  <c r="S91" i="12"/>
  <c r="H91" i="12"/>
  <c r="J91" i="12" s="1"/>
  <c r="M42" i="10"/>
  <c r="K43" i="10"/>
  <c r="C185" i="10"/>
  <c r="B186" i="10"/>
  <c r="E186" i="10" s="1"/>
  <c r="G186" i="10" s="1"/>
  <c r="I186" i="10" s="1"/>
  <c r="D339" i="8"/>
  <c r="T70" i="8"/>
  <c r="C70" i="8" s="1"/>
  <c r="H69" i="8"/>
  <c r="L54" i="7"/>
  <c r="D55" i="7" s="1"/>
  <c r="H54" i="7"/>
  <c r="N90" i="12"/>
  <c r="D91" i="12" s="1"/>
  <c r="Q90" i="12"/>
  <c r="C56" i="7"/>
  <c r="J56" i="7" s="1"/>
  <c r="B55" i="7"/>
  <c r="V55" i="7"/>
  <c r="F55" i="7"/>
  <c r="H55" i="7" s="1"/>
  <c r="S70" i="8" l="1"/>
  <c r="H70" i="8" s="1"/>
  <c r="M43" i="10"/>
  <c r="K44" i="10"/>
  <c r="C186" i="10"/>
  <c r="B187" i="10"/>
  <c r="E187" i="10" s="1"/>
  <c r="G187" i="10" s="1"/>
  <c r="I187" i="10" s="1"/>
  <c r="D340" i="8"/>
  <c r="L91" i="12"/>
  <c r="H92" i="12" s="1"/>
  <c r="L55" i="7"/>
  <c r="D56" i="7" s="1"/>
  <c r="C57" i="7"/>
  <c r="J57" i="7" s="1"/>
  <c r="V56" i="7"/>
  <c r="B56" i="7"/>
  <c r="F56" i="7"/>
  <c r="H56" i="7" s="1"/>
  <c r="T71" i="8"/>
  <c r="C71" i="8" s="1"/>
  <c r="R71" i="8" l="1"/>
  <c r="F71" i="8" s="1"/>
  <c r="G71" i="8" s="1"/>
  <c r="M44" i="10"/>
  <c r="K45" i="10"/>
  <c r="C187" i="10"/>
  <c r="B188" i="10"/>
  <c r="E188" i="10" s="1"/>
  <c r="G188" i="10" s="1"/>
  <c r="I188" i="10" s="1"/>
  <c r="D341" i="8"/>
  <c r="S92" i="12"/>
  <c r="N91" i="12"/>
  <c r="D92" i="12" s="1"/>
  <c r="Q91" i="12"/>
  <c r="J92" i="12"/>
  <c r="L56" i="7"/>
  <c r="S71" i="8"/>
  <c r="H71" i="8" s="1"/>
  <c r="C58" i="7"/>
  <c r="J58" i="7" s="1"/>
  <c r="F57" i="7"/>
  <c r="L57" i="7" s="1"/>
  <c r="V57" i="7"/>
  <c r="D57" i="7"/>
  <c r="B57" i="7"/>
  <c r="M45" i="10" l="1"/>
  <c r="K46" i="10"/>
  <c r="C188" i="10"/>
  <c r="B189" i="10"/>
  <c r="E189" i="10" s="1"/>
  <c r="G189" i="10" s="1"/>
  <c r="I189" i="10" s="1"/>
  <c r="D342" i="8"/>
  <c r="L92" i="12"/>
  <c r="H93" i="12" s="1"/>
  <c r="H57" i="7"/>
  <c r="R72" i="8"/>
  <c r="F72" i="8" s="1"/>
  <c r="G72" i="8" s="1"/>
  <c r="T72" i="8"/>
  <c r="C72" i="8" s="1"/>
  <c r="C59" i="7"/>
  <c r="J59" i="7" s="1"/>
  <c r="F58" i="7"/>
  <c r="H58" i="7" s="1"/>
  <c r="V58" i="7"/>
  <c r="D58" i="7"/>
  <c r="L58" i="7" s="1"/>
  <c r="B58" i="7"/>
  <c r="M46" i="10" l="1"/>
  <c r="K47" i="10"/>
  <c r="C189" i="10"/>
  <c r="B190" i="10"/>
  <c r="E190" i="10" s="1"/>
  <c r="G190" i="10" s="1"/>
  <c r="I190" i="10" s="1"/>
  <c r="D343" i="8"/>
  <c r="S93" i="12"/>
  <c r="N92" i="12"/>
  <c r="D93" i="12" s="1"/>
  <c r="J93" i="12"/>
  <c r="Q92" i="12"/>
  <c r="S72" i="8"/>
  <c r="H72" i="8" s="1"/>
  <c r="C60" i="7"/>
  <c r="J60" i="7" s="1"/>
  <c r="F59" i="7"/>
  <c r="H59" i="7" s="1"/>
  <c r="V59" i="7"/>
  <c r="D59" i="7"/>
  <c r="L59" i="7" s="1"/>
  <c r="B59" i="7"/>
  <c r="M47" i="10" l="1"/>
  <c r="K48" i="10"/>
  <c r="C190" i="10"/>
  <c r="B191" i="10"/>
  <c r="E191" i="10" s="1"/>
  <c r="G191" i="10" s="1"/>
  <c r="I191" i="10" s="1"/>
  <c r="D344" i="8"/>
  <c r="L93" i="12"/>
  <c r="H94" i="12" s="1"/>
  <c r="T73" i="8"/>
  <c r="R73" i="8"/>
  <c r="F73" i="8" s="1"/>
  <c r="G73" i="8" s="1"/>
  <c r="C61" i="7"/>
  <c r="J61" i="7" s="1"/>
  <c r="F60" i="7"/>
  <c r="H60" i="7" s="1"/>
  <c r="V60" i="7"/>
  <c r="D60" i="7"/>
  <c r="B60" i="7"/>
  <c r="M48" i="10" l="1"/>
  <c r="K49" i="10"/>
  <c r="C191" i="10"/>
  <c r="B192" i="10"/>
  <c r="E192" i="10" s="1"/>
  <c r="G192" i="10" s="1"/>
  <c r="I192" i="10" s="1"/>
  <c r="C73" i="8"/>
  <c r="D345" i="8"/>
  <c r="S94" i="12"/>
  <c r="J94" i="12"/>
  <c r="Q93" i="12"/>
  <c r="N93" i="12"/>
  <c r="D94" i="12" s="1"/>
  <c r="S73" i="8"/>
  <c r="L60" i="7"/>
  <c r="C62" i="7"/>
  <c r="J62" i="7" s="1"/>
  <c r="F61" i="7"/>
  <c r="H61" i="7" s="1"/>
  <c r="D61" i="7"/>
  <c r="V61" i="7"/>
  <c r="B61" i="7"/>
  <c r="M49" i="10" l="1"/>
  <c r="K50" i="10"/>
  <c r="C192" i="10"/>
  <c r="B193" i="10"/>
  <c r="E193" i="10" s="1"/>
  <c r="G193" i="10" s="1"/>
  <c r="I193" i="10" s="1"/>
  <c r="D346" i="8"/>
  <c r="L94" i="12"/>
  <c r="H95" i="12" s="1"/>
  <c r="H73" i="8"/>
  <c r="T74" i="8"/>
  <c r="R74" i="8"/>
  <c r="F74" i="8" s="1"/>
  <c r="G74" i="8" s="1"/>
  <c r="L61" i="7"/>
  <c r="C63" i="7"/>
  <c r="J63" i="7" s="1"/>
  <c r="B62" i="7"/>
  <c r="F62" i="7"/>
  <c r="H62" i="7" s="1"/>
  <c r="D62" i="7"/>
  <c r="L62" i="7" s="1"/>
  <c r="V62" i="7"/>
  <c r="Q94" i="12" l="1"/>
  <c r="N94" i="12"/>
  <c r="D95" i="12" s="1"/>
  <c r="M50" i="10"/>
  <c r="K51" i="10"/>
  <c r="C193" i="10"/>
  <c r="B194" i="10"/>
  <c r="E194" i="10" s="1"/>
  <c r="G194" i="10" s="1"/>
  <c r="I194" i="10" s="1"/>
  <c r="C74" i="8"/>
  <c r="D347" i="8"/>
  <c r="S95" i="12"/>
  <c r="J95" i="12"/>
  <c r="S74" i="8"/>
  <c r="R75" i="8" s="1"/>
  <c r="F75" i="8" s="1"/>
  <c r="G75" i="8" s="1"/>
  <c r="C64" i="7"/>
  <c r="J64" i="7" s="1"/>
  <c r="F63" i="7"/>
  <c r="H63" i="7" s="1"/>
  <c r="B63" i="7"/>
  <c r="V63" i="7"/>
  <c r="D63" i="7"/>
  <c r="M51" i="10" l="1"/>
  <c r="K52" i="10"/>
  <c r="C194" i="10"/>
  <c r="B195" i="10"/>
  <c r="E195" i="10" s="1"/>
  <c r="G195" i="10" s="1"/>
  <c r="I195" i="10" s="1"/>
  <c r="D348" i="8"/>
  <c r="T75" i="8"/>
  <c r="H74" i="8"/>
  <c r="S75" i="8"/>
  <c r="T76" i="8" s="1"/>
  <c r="C76" i="8" s="1"/>
  <c r="L63" i="7"/>
  <c r="L95" i="12"/>
  <c r="C65" i="7"/>
  <c r="J65" i="7" s="1"/>
  <c r="V64" i="7"/>
  <c r="D64" i="7"/>
  <c r="B64" i="7"/>
  <c r="F64" i="7"/>
  <c r="S96" i="12" l="1"/>
  <c r="H96" i="12"/>
  <c r="M52" i="10"/>
  <c r="K53" i="10"/>
  <c r="C195" i="10"/>
  <c r="B196" i="10"/>
  <c r="E196" i="10" s="1"/>
  <c r="G196" i="10" s="1"/>
  <c r="I196" i="10" s="1"/>
  <c r="C75" i="8"/>
  <c r="H75" i="8"/>
  <c r="R76" i="8"/>
  <c r="F76" i="8" s="1"/>
  <c r="G76" i="8" s="1"/>
  <c r="L64" i="7"/>
  <c r="H64" i="7"/>
  <c r="N95" i="12"/>
  <c r="Q95" i="12"/>
  <c r="C66" i="7"/>
  <c r="J66" i="7" s="1"/>
  <c r="F65" i="7"/>
  <c r="H65" i="7" s="1"/>
  <c r="V65" i="7"/>
  <c r="D65" i="7"/>
  <c r="L65" i="7" s="1"/>
  <c r="B65" i="7"/>
  <c r="M53" i="10" l="1"/>
  <c r="K54" i="10"/>
  <c r="C196" i="10"/>
  <c r="B197" i="10"/>
  <c r="E197" i="10" s="1"/>
  <c r="G197" i="10" s="1"/>
  <c r="I197" i="10" s="1"/>
  <c r="S76" i="8"/>
  <c r="R77" i="8" s="1"/>
  <c r="F77" i="8" s="1"/>
  <c r="G77" i="8" s="1"/>
  <c r="J96" i="12"/>
  <c r="D96" i="12"/>
  <c r="C67" i="7"/>
  <c r="J67" i="7" s="1"/>
  <c r="B66" i="7"/>
  <c r="F66" i="7"/>
  <c r="H66" i="7" s="1"/>
  <c r="V66" i="7"/>
  <c r="D66" i="7"/>
  <c r="L66" i="7" s="1"/>
  <c r="M54" i="10" l="1"/>
  <c r="K55" i="10"/>
  <c r="C197" i="10"/>
  <c r="B198" i="10"/>
  <c r="E198" i="10" s="1"/>
  <c r="G198" i="10" s="1"/>
  <c r="I198" i="10" s="1"/>
  <c r="T77" i="8"/>
  <c r="H76" i="8"/>
  <c r="S77" i="8"/>
  <c r="L96" i="12"/>
  <c r="B67" i="7"/>
  <c r="F67" i="7"/>
  <c r="H67" i="7" s="1"/>
  <c r="V67" i="7"/>
  <c r="D67" i="7"/>
  <c r="S97" i="12" l="1"/>
  <c r="H97" i="12"/>
  <c r="J97" i="12" s="1"/>
  <c r="M55" i="10"/>
  <c r="K56" i="10"/>
  <c r="C198" i="10"/>
  <c r="B199" i="10"/>
  <c r="E199" i="10" s="1"/>
  <c r="G199" i="10" s="1"/>
  <c r="I199" i="10" s="1"/>
  <c r="C77" i="8"/>
  <c r="L67" i="7"/>
  <c r="H77" i="8"/>
  <c r="R78" i="8"/>
  <c r="F78" i="8" s="1"/>
  <c r="G78" i="8" s="1"/>
  <c r="T78" i="8"/>
  <c r="C78" i="8" s="1"/>
  <c r="N96" i="12"/>
  <c r="D97" i="12" s="1"/>
  <c r="Q96" i="12"/>
  <c r="M56" i="10" l="1"/>
  <c r="K57" i="10"/>
  <c r="C199" i="10"/>
  <c r="B200" i="10"/>
  <c r="E200" i="10" s="1"/>
  <c r="G200" i="10" s="1"/>
  <c r="I200" i="10" s="1"/>
  <c r="S78" i="8"/>
  <c r="T79" i="8" s="1"/>
  <c r="C79" i="8" s="1"/>
  <c r="L97" i="12"/>
  <c r="S98" i="12" l="1"/>
  <c r="H98" i="12"/>
  <c r="J98" i="12" s="1"/>
  <c r="M57" i="10"/>
  <c r="K58" i="10"/>
  <c r="C200" i="10"/>
  <c r="B201" i="10"/>
  <c r="E201" i="10" s="1"/>
  <c r="G201" i="10" s="1"/>
  <c r="I201" i="10" s="1"/>
  <c r="H78" i="8"/>
  <c r="R79" i="8"/>
  <c r="F79" i="8" s="1"/>
  <c r="G79" i="8" s="1"/>
  <c r="N97" i="12"/>
  <c r="D98" i="12" s="1"/>
  <c r="Q97" i="12"/>
  <c r="M58" i="10" l="1"/>
  <c r="K59" i="10"/>
  <c r="C201" i="10"/>
  <c r="B202" i="10"/>
  <c r="E202" i="10" s="1"/>
  <c r="G202" i="10" s="1"/>
  <c r="I202" i="10" s="1"/>
  <c r="S79" i="8"/>
  <c r="L98" i="12"/>
  <c r="S99" i="12" l="1"/>
  <c r="H99" i="12"/>
  <c r="J99" i="12" s="1"/>
  <c r="M59" i="10"/>
  <c r="K60" i="10"/>
  <c r="C202" i="10"/>
  <c r="B203" i="10"/>
  <c r="E203" i="10" s="1"/>
  <c r="G203" i="10" s="1"/>
  <c r="I203" i="10" s="1"/>
  <c r="H79" i="8"/>
  <c r="R80" i="8"/>
  <c r="F80" i="8" s="1"/>
  <c r="G80" i="8" s="1"/>
  <c r="T80" i="8"/>
  <c r="C80" i="8" s="1"/>
  <c r="N98" i="12"/>
  <c r="D99" i="12" s="1"/>
  <c r="Q98" i="12"/>
  <c r="M60" i="10" l="1"/>
  <c r="K61" i="10"/>
  <c r="C203" i="10"/>
  <c r="B204" i="10"/>
  <c r="E204" i="10" s="1"/>
  <c r="G204" i="10" s="1"/>
  <c r="I204" i="10" s="1"/>
  <c r="S80" i="8"/>
  <c r="R81" i="8" s="1"/>
  <c r="F81" i="8" s="1"/>
  <c r="G81" i="8" s="1"/>
  <c r="L99" i="12"/>
  <c r="S100" i="12" l="1"/>
  <c r="H100" i="12"/>
  <c r="J100" i="12" s="1"/>
  <c r="M61" i="10"/>
  <c r="K62" i="10"/>
  <c r="C204" i="10"/>
  <c r="B205" i="10"/>
  <c r="E205" i="10" s="1"/>
  <c r="G205" i="10" s="1"/>
  <c r="I205" i="10" s="1"/>
  <c r="H80" i="8"/>
  <c r="T81" i="8"/>
  <c r="C81" i="8" s="1"/>
  <c r="S81" i="8"/>
  <c r="N99" i="12"/>
  <c r="D100" i="12" s="1"/>
  <c r="Q99" i="12"/>
  <c r="M62" i="10" l="1"/>
  <c r="K63" i="10"/>
  <c r="C205" i="10"/>
  <c r="B206" i="10"/>
  <c r="E206" i="10" s="1"/>
  <c r="G206" i="10" s="1"/>
  <c r="I206" i="10" s="1"/>
  <c r="T82" i="8"/>
  <c r="C82" i="8" s="1"/>
  <c r="R82" i="8"/>
  <c r="F82" i="8" s="1"/>
  <c r="G82" i="8" s="1"/>
  <c r="H81" i="8"/>
  <c r="L100" i="12"/>
  <c r="S101" i="12" l="1"/>
  <c r="H101" i="12"/>
  <c r="J101" i="12" s="1"/>
  <c r="M63" i="10"/>
  <c r="K64" i="10"/>
  <c r="C206" i="10"/>
  <c r="B207" i="10"/>
  <c r="E207" i="10" s="1"/>
  <c r="G207" i="10" s="1"/>
  <c r="I207" i="10" s="1"/>
  <c r="S82" i="8"/>
  <c r="N100" i="12"/>
  <c r="D101" i="12" s="1"/>
  <c r="Q100" i="12"/>
  <c r="M64" i="10" l="1"/>
  <c r="K65" i="10"/>
  <c r="C207" i="10"/>
  <c r="B208" i="10"/>
  <c r="E208" i="10" s="1"/>
  <c r="G208" i="10" s="1"/>
  <c r="I208" i="10" s="1"/>
  <c r="H82" i="8"/>
  <c r="R83" i="8"/>
  <c r="F83" i="8" s="1"/>
  <c r="G83" i="8" s="1"/>
  <c r="T83" i="8"/>
  <c r="C83" i="8" s="1"/>
  <c r="L101" i="12"/>
  <c r="S102" i="12" l="1"/>
  <c r="H102" i="12"/>
  <c r="J102" i="12" s="1"/>
  <c r="M65" i="10"/>
  <c r="K66" i="10"/>
  <c r="C208" i="10"/>
  <c r="B209" i="10"/>
  <c r="E209" i="10" s="1"/>
  <c r="G209" i="10" s="1"/>
  <c r="I209" i="10" s="1"/>
  <c r="N101" i="12"/>
  <c r="D102" i="12" s="1"/>
  <c r="Q101" i="12"/>
  <c r="S83" i="8"/>
  <c r="M66" i="10" l="1"/>
  <c r="K67" i="10"/>
  <c r="C209" i="10"/>
  <c r="B210" i="10"/>
  <c r="E210" i="10" s="1"/>
  <c r="G210" i="10" s="1"/>
  <c r="I210" i="10" s="1"/>
  <c r="L102" i="12"/>
  <c r="H103" i="12" s="1"/>
  <c r="H83" i="8"/>
  <c r="T84" i="8"/>
  <c r="C84" i="8" s="1"/>
  <c r="R84" i="8"/>
  <c r="F84" i="8" s="1"/>
  <c r="G84" i="8" s="1"/>
  <c r="M67" i="10" l="1"/>
  <c r="K68" i="10"/>
  <c r="C210" i="10"/>
  <c r="B211" i="10"/>
  <c r="E211" i="10" s="1"/>
  <c r="G211" i="10" s="1"/>
  <c r="I211" i="10" s="1"/>
  <c r="S84" i="8"/>
  <c r="R85" i="8" s="1"/>
  <c r="F85" i="8" s="1"/>
  <c r="G85" i="8" s="1"/>
  <c r="S103" i="12"/>
  <c r="N102" i="12"/>
  <c r="D103" i="12" s="1"/>
  <c r="J103" i="12"/>
  <c r="Q102" i="12"/>
  <c r="M68" i="10" l="1"/>
  <c r="K69" i="10"/>
  <c r="C211" i="10"/>
  <c r="B212" i="10"/>
  <c r="E212" i="10" s="1"/>
  <c r="G212" i="10" s="1"/>
  <c r="I212" i="10" s="1"/>
  <c r="H84" i="8"/>
  <c r="T85" i="8"/>
  <c r="S85" i="8"/>
  <c r="L103" i="12"/>
  <c r="S104" i="12" l="1"/>
  <c r="H104" i="12"/>
  <c r="J104" i="12" s="1"/>
  <c r="M69" i="10"/>
  <c r="K70" i="10"/>
  <c r="C212" i="10"/>
  <c r="B213" i="10"/>
  <c r="E213" i="10" s="1"/>
  <c r="G213" i="10" s="1"/>
  <c r="I213" i="10" s="1"/>
  <c r="C85" i="8"/>
  <c r="T86" i="8"/>
  <c r="C86" i="8" s="1"/>
  <c r="R86" i="8"/>
  <c r="F86" i="8" s="1"/>
  <c r="G86" i="8" s="1"/>
  <c r="H85" i="8"/>
  <c r="N103" i="12"/>
  <c r="D104" i="12" s="1"/>
  <c r="Q103" i="12"/>
  <c r="S86" i="8" l="1"/>
  <c r="R87" i="8" s="1"/>
  <c r="F87" i="8" s="1"/>
  <c r="G87" i="8" s="1"/>
  <c r="M70" i="10"/>
  <c r="K71" i="10"/>
  <c r="C213" i="10"/>
  <c r="B214" i="10"/>
  <c r="E214" i="10" s="1"/>
  <c r="G214" i="10" s="1"/>
  <c r="I214" i="10" s="1"/>
  <c r="L104" i="12"/>
  <c r="H86" i="8" l="1"/>
  <c r="T87" i="8"/>
  <c r="C87" i="8" s="1"/>
  <c r="S87" i="8"/>
  <c r="H87" i="8" s="1"/>
  <c r="S105" i="12"/>
  <c r="H105" i="12"/>
  <c r="J105" i="12" s="1"/>
  <c r="M71" i="10"/>
  <c r="K72" i="10"/>
  <c r="C214" i="10"/>
  <c r="B215" i="10"/>
  <c r="E215" i="10" s="1"/>
  <c r="G215" i="10" s="1"/>
  <c r="I215" i="10" s="1"/>
  <c r="N104" i="12"/>
  <c r="D105" i="12" s="1"/>
  <c r="Q104" i="12"/>
  <c r="T88" i="8" l="1"/>
  <c r="C88" i="8" s="1"/>
  <c r="R88" i="8"/>
  <c r="F88" i="8" s="1"/>
  <c r="G88" i="8" s="1"/>
  <c r="M72" i="10"/>
  <c r="K73" i="10"/>
  <c r="C215" i="10"/>
  <c r="B216" i="10"/>
  <c r="E216" i="10" s="1"/>
  <c r="G216" i="10" s="1"/>
  <c r="I216" i="10" s="1"/>
  <c r="L105" i="12"/>
  <c r="S88" i="8" l="1"/>
  <c r="S106" i="12"/>
  <c r="H106" i="12"/>
  <c r="J106" i="12" s="1"/>
  <c r="M73" i="10"/>
  <c r="K74" i="10"/>
  <c r="C216" i="10"/>
  <c r="B217" i="10"/>
  <c r="E217" i="10" s="1"/>
  <c r="G217" i="10" s="1"/>
  <c r="I217" i="10" s="1"/>
  <c r="Q105" i="12"/>
  <c r="N105" i="12"/>
  <c r="D106" i="12" s="1"/>
  <c r="H88" i="8" l="1"/>
  <c r="T89" i="8"/>
  <c r="C89" i="8" s="1"/>
  <c r="R89" i="8"/>
  <c r="F89" i="8" s="1"/>
  <c r="G89" i="8" s="1"/>
  <c r="M74" i="10"/>
  <c r="K75" i="10"/>
  <c r="C217" i="10"/>
  <c r="B218" i="10"/>
  <c r="E218" i="10" s="1"/>
  <c r="G218" i="10" s="1"/>
  <c r="I218" i="10" s="1"/>
  <c r="L106" i="12"/>
  <c r="S89" i="8" l="1"/>
  <c r="S107" i="12"/>
  <c r="H107" i="12"/>
  <c r="J107" i="12" s="1"/>
  <c r="M75" i="10"/>
  <c r="K76" i="10"/>
  <c r="C218" i="10"/>
  <c r="B219" i="10"/>
  <c r="E219" i="10" s="1"/>
  <c r="G219" i="10" s="1"/>
  <c r="I219" i="10" s="1"/>
  <c r="Q106" i="12"/>
  <c r="N106" i="12"/>
  <c r="D107" i="12" s="1"/>
  <c r="R90" i="8" l="1"/>
  <c r="F90" i="8" s="1"/>
  <c r="G90" i="8" s="1"/>
  <c r="T90" i="8"/>
  <c r="C90" i="8" s="1"/>
  <c r="H89" i="8"/>
  <c r="M76" i="10"/>
  <c r="K77" i="10"/>
  <c r="C219" i="10"/>
  <c r="B220" i="10"/>
  <c r="E220" i="10" s="1"/>
  <c r="G220" i="10" s="1"/>
  <c r="I220" i="10" s="1"/>
  <c r="L107" i="12"/>
  <c r="S90" i="8" l="1"/>
  <c r="R91" i="8" s="1"/>
  <c r="F91" i="8" s="1"/>
  <c r="G91" i="8" s="1"/>
  <c r="N107" i="12"/>
  <c r="D108" i="12" s="1"/>
  <c r="H108" i="12"/>
  <c r="J108" i="12" s="1"/>
  <c r="Q107" i="12"/>
  <c r="M77" i="10"/>
  <c r="K78" i="10"/>
  <c r="C220" i="10"/>
  <c r="B221" i="10"/>
  <c r="E221" i="10" s="1"/>
  <c r="G221" i="10" s="1"/>
  <c r="I221" i="10" s="1"/>
  <c r="S108" i="12"/>
  <c r="H90" i="8" l="1"/>
  <c r="T91" i="8"/>
  <c r="C91" i="8" s="1"/>
  <c r="S91" i="8"/>
  <c r="H91" i="8" s="1"/>
  <c r="M78" i="10"/>
  <c r="K79" i="10"/>
  <c r="C221" i="10"/>
  <c r="B222" i="10"/>
  <c r="E222" i="10" s="1"/>
  <c r="G222" i="10" s="1"/>
  <c r="I222" i="10" s="1"/>
  <c r="L108" i="12"/>
  <c r="H109" i="12" s="1"/>
  <c r="T92" i="8" l="1"/>
  <c r="C92" i="8" s="1"/>
  <c r="R92" i="8"/>
  <c r="F92" i="8" s="1"/>
  <c r="G92" i="8" s="1"/>
  <c r="M79" i="10"/>
  <c r="K80" i="10"/>
  <c r="C222" i="10"/>
  <c r="B223" i="10"/>
  <c r="E223" i="10" s="1"/>
  <c r="G223" i="10" s="1"/>
  <c r="I223" i="10" s="1"/>
  <c r="S109" i="12"/>
  <c r="Q108" i="12"/>
  <c r="J109" i="12"/>
  <c r="N108" i="12"/>
  <c r="D109" i="12" s="1"/>
  <c r="S92" i="8" l="1"/>
  <c r="L109" i="12"/>
  <c r="H110" i="12" s="1"/>
  <c r="M80" i="10"/>
  <c r="K81" i="10"/>
  <c r="C223" i="10"/>
  <c r="B224" i="10"/>
  <c r="E224" i="10" s="1"/>
  <c r="G224" i="10" s="1"/>
  <c r="I224" i="10" s="1"/>
  <c r="R93" i="8" l="1"/>
  <c r="F93" i="8" s="1"/>
  <c r="G93" i="8" s="1"/>
  <c r="T93" i="8"/>
  <c r="C93" i="8" s="1"/>
  <c r="H92" i="8"/>
  <c r="N109" i="12"/>
  <c r="D110" i="12" s="1"/>
  <c r="L110" i="12" s="1"/>
  <c r="Q109" i="12"/>
  <c r="S110" i="12"/>
  <c r="M81" i="10"/>
  <c r="K82" i="10"/>
  <c r="C224" i="10"/>
  <c r="B225" i="10"/>
  <c r="E225" i="10" s="1"/>
  <c r="G225" i="10" s="1"/>
  <c r="I225" i="10" s="1"/>
  <c r="J110" i="12"/>
  <c r="S93" i="8" l="1"/>
  <c r="S111" i="12"/>
  <c r="H111" i="12"/>
  <c r="M82" i="10"/>
  <c r="K83" i="10"/>
  <c r="C225" i="10"/>
  <c r="B226" i="10"/>
  <c r="E226" i="10" s="1"/>
  <c r="G226" i="10" s="1"/>
  <c r="I226" i="10" s="1"/>
  <c r="N110" i="12"/>
  <c r="Q110" i="12"/>
  <c r="R94" i="8" l="1"/>
  <c r="F94" i="8" s="1"/>
  <c r="G94" i="8" s="1"/>
  <c r="T94" i="8"/>
  <c r="C94" i="8" s="1"/>
  <c r="H93" i="8"/>
  <c r="M83" i="10"/>
  <c r="K84" i="10"/>
  <c r="C226" i="10"/>
  <c r="B227" i="10"/>
  <c r="E227" i="10" s="1"/>
  <c r="G227" i="10" s="1"/>
  <c r="I227" i="10" s="1"/>
  <c r="J111" i="12"/>
  <c r="D111" i="12"/>
  <c r="S94" i="8" l="1"/>
  <c r="M84" i="10"/>
  <c r="K85" i="10"/>
  <c r="C227" i="10"/>
  <c r="B228" i="10"/>
  <c r="E228" i="10" s="1"/>
  <c r="G228" i="10" s="1"/>
  <c r="I228" i="10" s="1"/>
  <c r="L111" i="12"/>
  <c r="R95" i="8" l="1"/>
  <c r="F95" i="8" s="1"/>
  <c r="G95" i="8" s="1"/>
  <c r="T95" i="8"/>
  <c r="C95" i="8" s="1"/>
  <c r="H94" i="8"/>
  <c r="S112" i="12"/>
  <c r="H112" i="12"/>
  <c r="J112" i="12" s="1"/>
  <c r="M85" i="10"/>
  <c r="K86" i="10"/>
  <c r="C228" i="10"/>
  <c r="B229" i="10"/>
  <c r="E229" i="10" s="1"/>
  <c r="G229" i="10" s="1"/>
  <c r="I229" i="10" s="1"/>
  <c r="N111" i="12"/>
  <c r="D112" i="12" s="1"/>
  <c r="Q111" i="12"/>
  <c r="S95" i="8" l="1"/>
  <c r="M86" i="10"/>
  <c r="K87" i="10"/>
  <c r="C229" i="10"/>
  <c r="B230" i="10"/>
  <c r="E230" i="10" s="1"/>
  <c r="G230" i="10" s="1"/>
  <c r="I230" i="10" s="1"/>
  <c r="L112" i="12"/>
  <c r="T96" i="8" l="1"/>
  <c r="C96" i="8" s="1"/>
  <c r="H95" i="8"/>
  <c r="R96" i="8"/>
  <c r="F96" i="8" s="1"/>
  <c r="G96" i="8" s="1"/>
  <c r="S113" i="12"/>
  <c r="H113" i="12"/>
  <c r="J113" i="12" s="1"/>
  <c r="M87" i="10"/>
  <c r="K88" i="10"/>
  <c r="C230" i="10"/>
  <c r="B231" i="10"/>
  <c r="E231" i="10" s="1"/>
  <c r="G231" i="10" s="1"/>
  <c r="I231" i="10" s="1"/>
  <c r="N112" i="12"/>
  <c r="D113" i="12" s="1"/>
  <c r="Q112" i="12"/>
  <c r="S96" i="8" l="1"/>
  <c r="M88" i="10"/>
  <c r="K89" i="10"/>
  <c r="C231" i="10"/>
  <c r="B232" i="10"/>
  <c r="E232" i="10" s="1"/>
  <c r="G232" i="10" s="1"/>
  <c r="I232" i="10" s="1"/>
  <c r="L113" i="12"/>
  <c r="R97" i="8" l="1"/>
  <c r="F97" i="8" s="1"/>
  <c r="G97" i="8" s="1"/>
  <c r="H96" i="8"/>
  <c r="T97" i="8"/>
  <c r="C97" i="8" s="1"/>
  <c r="S114" i="12"/>
  <c r="H114" i="12"/>
  <c r="J114" i="12" s="1"/>
  <c r="M89" i="10"/>
  <c r="K90" i="10"/>
  <c r="C232" i="10"/>
  <c r="B233" i="10"/>
  <c r="E233" i="10" s="1"/>
  <c r="G233" i="10" s="1"/>
  <c r="I233" i="10" s="1"/>
  <c r="Q113" i="12"/>
  <c r="N113" i="12"/>
  <c r="D114" i="12" s="1"/>
  <c r="S97" i="8" l="1"/>
  <c r="M90" i="10"/>
  <c r="K91" i="10"/>
  <c r="C233" i="10"/>
  <c r="B234" i="10"/>
  <c r="E234" i="10" s="1"/>
  <c r="G234" i="10" s="1"/>
  <c r="I234" i="10" s="1"/>
  <c r="L114" i="12"/>
  <c r="H115" i="12" s="1"/>
  <c r="H97" i="8" l="1"/>
  <c r="R98" i="8"/>
  <c r="F98" i="8" s="1"/>
  <c r="G98" i="8" s="1"/>
  <c r="T98" i="8"/>
  <c r="C98" i="8" s="1"/>
  <c r="M91" i="10"/>
  <c r="K92" i="10"/>
  <c r="C234" i="10"/>
  <c r="B235" i="10"/>
  <c r="E235" i="10" s="1"/>
  <c r="G235" i="10" s="1"/>
  <c r="I235" i="10" s="1"/>
  <c r="S115" i="12"/>
  <c r="Q114" i="12"/>
  <c r="N114" i="12"/>
  <c r="D115" i="12" s="1"/>
  <c r="J115" i="12"/>
  <c r="S98" i="8" l="1"/>
  <c r="M92" i="10"/>
  <c r="K93" i="10"/>
  <c r="C235" i="10"/>
  <c r="B236" i="10"/>
  <c r="E236" i="10" s="1"/>
  <c r="G236" i="10" s="1"/>
  <c r="I236" i="10" s="1"/>
  <c r="L115" i="12"/>
  <c r="T99" i="8" l="1"/>
  <c r="C99" i="8" s="1"/>
  <c r="R99" i="8"/>
  <c r="F99" i="8" s="1"/>
  <c r="G99" i="8" s="1"/>
  <c r="H98" i="8"/>
  <c r="N115" i="12"/>
  <c r="D116" i="12" s="1"/>
  <c r="H116" i="12"/>
  <c r="J116" i="12" s="1"/>
  <c r="M93" i="10"/>
  <c r="K94" i="10"/>
  <c r="C236" i="10"/>
  <c r="B237" i="10"/>
  <c r="E237" i="10" s="1"/>
  <c r="G237" i="10" s="1"/>
  <c r="I237" i="10" s="1"/>
  <c r="S116" i="12"/>
  <c r="Q115" i="12"/>
  <c r="S99" i="8" l="1"/>
  <c r="M94" i="10"/>
  <c r="K95" i="10"/>
  <c r="C237" i="10"/>
  <c r="B238" i="10"/>
  <c r="E238" i="10" s="1"/>
  <c r="G238" i="10" s="1"/>
  <c r="I238" i="10" s="1"/>
  <c r="L116" i="12"/>
  <c r="H117" i="12" s="1"/>
  <c r="T100" i="8" l="1"/>
  <c r="C100" i="8" s="1"/>
  <c r="R100" i="8"/>
  <c r="F100" i="8" s="1"/>
  <c r="G100" i="8" s="1"/>
  <c r="H99" i="8"/>
  <c r="M95" i="10"/>
  <c r="K96" i="10"/>
  <c r="C238" i="10"/>
  <c r="B239" i="10"/>
  <c r="E239" i="10" s="1"/>
  <c r="G239" i="10" s="1"/>
  <c r="I239" i="10" s="1"/>
  <c r="Q116" i="12"/>
  <c r="N116" i="12"/>
  <c r="D117" i="12" s="1"/>
  <c r="S117" i="12"/>
  <c r="J117" i="12"/>
  <c r="S100" i="8" l="1"/>
  <c r="R101" i="8"/>
  <c r="F101" i="8" s="1"/>
  <c r="G101" i="8" s="1"/>
  <c r="T101" i="8"/>
  <c r="C101" i="8" s="1"/>
  <c r="H100" i="8"/>
  <c r="M96" i="10"/>
  <c r="K97" i="10"/>
  <c r="C239" i="10"/>
  <c r="B240" i="10"/>
  <c r="E240" i="10" s="1"/>
  <c r="G240" i="10" s="1"/>
  <c r="I240" i="10" s="1"/>
  <c r="L117" i="12"/>
  <c r="H118" i="12" s="1"/>
  <c r="S101" i="8" l="1"/>
  <c r="M97" i="10"/>
  <c r="K98" i="10"/>
  <c r="C240" i="10"/>
  <c r="B241" i="10"/>
  <c r="E241" i="10" s="1"/>
  <c r="G241" i="10" s="1"/>
  <c r="I241" i="10" s="1"/>
  <c r="N117" i="12"/>
  <c r="D118" i="12" s="1"/>
  <c r="Q117" i="12"/>
  <c r="S118" i="12"/>
  <c r="J118" i="12"/>
  <c r="H101" i="8" l="1"/>
  <c r="R102" i="8"/>
  <c r="F102" i="8" s="1"/>
  <c r="G102" i="8" s="1"/>
  <c r="T102" i="8"/>
  <c r="C102" i="8" s="1"/>
  <c r="M98" i="10"/>
  <c r="K99" i="10"/>
  <c r="C241" i="10"/>
  <c r="B242" i="10"/>
  <c r="E242" i="10" s="1"/>
  <c r="G242" i="10" s="1"/>
  <c r="I242" i="10" s="1"/>
  <c r="L118" i="12"/>
  <c r="S102" i="8" l="1"/>
  <c r="N118" i="12"/>
  <c r="D119" i="12" s="1"/>
  <c r="H119" i="12"/>
  <c r="J119" i="12" s="1"/>
  <c r="Q118" i="12"/>
  <c r="M99" i="10"/>
  <c r="K100" i="10"/>
  <c r="C242" i="10"/>
  <c r="B243" i="10"/>
  <c r="E243" i="10" s="1"/>
  <c r="G243" i="10" s="1"/>
  <c r="I243" i="10" s="1"/>
  <c r="S119" i="12"/>
  <c r="H102" i="8" l="1"/>
  <c r="R103" i="8"/>
  <c r="F103" i="8" s="1"/>
  <c r="G103" i="8" s="1"/>
  <c r="T103" i="8"/>
  <c r="C103" i="8" s="1"/>
  <c r="M100" i="10"/>
  <c r="K101" i="10"/>
  <c r="C243" i="10"/>
  <c r="B244" i="10"/>
  <c r="E244" i="10" s="1"/>
  <c r="G244" i="10" s="1"/>
  <c r="I244" i="10" s="1"/>
  <c r="L119" i="12"/>
  <c r="S103" i="8" l="1"/>
  <c r="M101" i="10"/>
  <c r="K102" i="10"/>
  <c r="C244" i="10"/>
  <c r="B245" i="10"/>
  <c r="E245" i="10" s="1"/>
  <c r="G245" i="10" s="1"/>
  <c r="I245" i="10" s="1"/>
  <c r="N119" i="12"/>
  <c r="Q119" i="12"/>
  <c r="R19" i="12" s="1"/>
  <c r="K11" i="12" s="1"/>
  <c r="R104" i="8" l="1"/>
  <c r="F104" i="8" s="1"/>
  <c r="G104" i="8" s="1"/>
  <c r="H103" i="8"/>
  <c r="T104" i="8"/>
  <c r="C104" i="8" s="1"/>
  <c r="M102" i="10"/>
  <c r="K103" i="10"/>
  <c r="C245" i="10"/>
  <c r="B246" i="10"/>
  <c r="E246" i="10" s="1"/>
  <c r="G246" i="10" s="1"/>
  <c r="I246" i="10" s="1"/>
  <c r="S104" i="8" l="1"/>
  <c r="M103" i="10"/>
  <c r="K104" i="10"/>
  <c r="C246" i="10"/>
  <c r="B247" i="10"/>
  <c r="E247" i="10" s="1"/>
  <c r="G247" i="10" s="1"/>
  <c r="I247" i="10" s="1"/>
  <c r="H104" i="8" l="1"/>
  <c r="T105" i="8"/>
  <c r="C105" i="8" s="1"/>
  <c r="R105" i="8"/>
  <c r="F105" i="8" s="1"/>
  <c r="G105" i="8" s="1"/>
  <c r="M104" i="10"/>
  <c r="K105" i="10"/>
  <c r="C247" i="10"/>
  <c r="B248" i="10"/>
  <c r="E248" i="10" s="1"/>
  <c r="G248" i="10" s="1"/>
  <c r="I248" i="10" s="1"/>
  <c r="T18" i="8"/>
  <c r="S105" i="8" l="1"/>
  <c r="T106" i="8" s="1"/>
  <c r="C106" i="8" s="1"/>
  <c r="C18" i="8"/>
  <c r="M105" i="10"/>
  <c r="K106" i="10"/>
  <c r="C248" i="10"/>
  <c r="B249" i="10"/>
  <c r="E249" i="10" s="1"/>
  <c r="G249" i="10" s="1"/>
  <c r="I249" i="10" s="1"/>
  <c r="L7" i="6"/>
  <c r="L8" i="6"/>
  <c r="L6" i="6"/>
  <c r="R106" i="8" l="1"/>
  <c r="F106" i="8" s="1"/>
  <c r="G106" i="8" s="1"/>
  <c r="H105" i="8"/>
  <c r="M106" i="10"/>
  <c r="K107" i="10"/>
  <c r="C249" i="10"/>
  <c r="B250" i="10"/>
  <c r="E250" i="10" s="1"/>
  <c r="G250" i="10" s="1"/>
  <c r="I250" i="10" s="1"/>
  <c r="N9" i="6"/>
  <c r="I17" i="6" s="1"/>
  <c r="B18" i="6" s="1"/>
  <c r="P18" i="6" s="1"/>
  <c r="Q18" i="6" s="1"/>
  <c r="S106" i="8" l="1"/>
  <c r="R107" i="8" s="1"/>
  <c r="F107" i="8" s="1"/>
  <c r="G107" i="8" s="1"/>
  <c r="M107" i="10"/>
  <c r="K108" i="10"/>
  <c r="C250" i="10"/>
  <c r="B251" i="10"/>
  <c r="E251" i="10" s="1"/>
  <c r="G251" i="10" s="1"/>
  <c r="I251" i="10" s="1"/>
  <c r="T17" i="6"/>
  <c r="C18" i="6"/>
  <c r="E18" i="6" s="1"/>
  <c r="G18" i="6" s="1"/>
  <c r="I18" i="6" s="1"/>
  <c r="T18" i="6" s="1"/>
  <c r="H106" i="8" l="1"/>
  <c r="T107" i="8"/>
  <c r="C107" i="8" s="1"/>
  <c r="S107" i="8"/>
  <c r="M108" i="10"/>
  <c r="K109" i="10"/>
  <c r="C251" i="10"/>
  <c r="B252" i="10"/>
  <c r="E252" i="10" s="1"/>
  <c r="G252" i="10" s="1"/>
  <c r="I252" i="10" s="1"/>
  <c r="C19" i="6"/>
  <c r="E19" i="6" s="1"/>
  <c r="G19" i="6" s="1"/>
  <c r="I19" i="6" s="1"/>
  <c r="T19" i="6" s="1"/>
  <c r="B19" i="6"/>
  <c r="P19" i="6" s="1"/>
  <c r="Q19" i="6" s="1"/>
  <c r="R108" i="8" l="1"/>
  <c r="F108" i="8" s="1"/>
  <c r="G108" i="8" s="1"/>
  <c r="H107" i="8"/>
  <c r="T108" i="8"/>
  <c r="C108" i="8" s="1"/>
  <c r="M109" i="10"/>
  <c r="K110" i="10"/>
  <c r="C252" i="10"/>
  <c r="B253" i="10"/>
  <c r="E253" i="10" s="1"/>
  <c r="G253" i="10" s="1"/>
  <c r="I253" i="10" s="1"/>
  <c r="B20" i="6"/>
  <c r="P20" i="6" s="1"/>
  <c r="Q20" i="6" s="1"/>
  <c r="C20" i="6"/>
  <c r="E20" i="6" s="1"/>
  <c r="G20" i="6" s="1"/>
  <c r="I20" i="6" s="1"/>
  <c r="T20" i="6" s="1"/>
  <c r="S108" i="8" l="1"/>
  <c r="R109" i="8" s="1"/>
  <c r="F109" i="8" s="1"/>
  <c r="G109" i="8" s="1"/>
  <c r="T109" i="8"/>
  <c r="C109" i="8" s="1"/>
  <c r="H108" i="8"/>
  <c r="M110" i="10"/>
  <c r="K111" i="10"/>
  <c r="C253" i="10"/>
  <c r="B254" i="10"/>
  <c r="E254" i="10" s="1"/>
  <c r="G254" i="10" s="1"/>
  <c r="I254" i="10" s="1"/>
  <c r="B21" i="6"/>
  <c r="P21" i="6" s="1"/>
  <c r="Q21" i="6" s="1"/>
  <c r="C21" i="6"/>
  <c r="E21" i="6" s="1"/>
  <c r="G21" i="6" s="1"/>
  <c r="I21" i="6" s="1"/>
  <c r="S109" i="8" l="1"/>
  <c r="H109" i="8" s="1"/>
  <c r="T110" i="8"/>
  <c r="M111" i="10"/>
  <c r="K112" i="10"/>
  <c r="C254" i="10"/>
  <c r="B255" i="10"/>
  <c r="E255" i="10" s="1"/>
  <c r="G255" i="10" s="1"/>
  <c r="I255" i="10" s="1"/>
  <c r="B22" i="6"/>
  <c r="P22" i="6" s="1"/>
  <c r="Q22" i="6" s="1"/>
  <c r="T21" i="6"/>
  <c r="C22" i="6"/>
  <c r="E22" i="6" s="1"/>
  <c r="G22" i="6" s="1"/>
  <c r="I22" i="6" s="1"/>
  <c r="R110" i="8" l="1"/>
  <c r="F110" i="8" s="1"/>
  <c r="G110" i="8" s="1"/>
  <c r="M112" i="10"/>
  <c r="K113" i="10"/>
  <c r="C255" i="10"/>
  <c r="B256" i="10"/>
  <c r="E256" i="10" s="1"/>
  <c r="G256" i="10" s="1"/>
  <c r="I256" i="10" s="1"/>
  <c r="B23" i="6"/>
  <c r="P23" i="6" s="1"/>
  <c r="Q23" i="6" s="1"/>
  <c r="C23" i="6"/>
  <c r="E23" i="6" s="1"/>
  <c r="G23" i="6" s="1"/>
  <c r="I23" i="6" s="1"/>
  <c r="C24" i="6" s="1"/>
  <c r="E24" i="6" s="1"/>
  <c r="G24" i="6" s="1"/>
  <c r="I24" i="6" s="1"/>
  <c r="T22" i="6"/>
  <c r="S110" i="8" l="1"/>
  <c r="T111" i="8" s="1"/>
  <c r="M113" i="10"/>
  <c r="K114" i="10"/>
  <c r="C256" i="10"/>
  <c r="B257" i="10"/>
  <c r="E257" i="10" s="1"/>
  <c r="G257" i="10" s="1"/>
  <c r="I257" i="10" s="1"/>
  <c r="B24" i="6"/>
  <c r="P24" i="6" s="1"/>
  <c r="Q24" i="6" s="1"/>
  <c r="T23" i="6"/>
  <c r="T24" i="6"/>
  <c r="C25" i="6"/>
  <c r="E25" i="6" s="1"/>
  <c r="G25" i="6" s="1"/>
  <c r="I25" i="6" s="1"/>
  <c r="H110" i="8" l="1"/>
  <c r="R111" i="8"/>
  <c r="F111" i="8" s="1"/>
  <c r="G111" i="8" s="1"/>
  <c r="S111" i="8"/>
  <c r="M114" i="10"/>
  <c r="K115" i="10"/>
  <c r="C257" i="10"/>
  <c r="B258" i="10"/>
  <c r="E258" i="10" s="1"/>
  <c r="G258" i="10" s="1"/>
  <c r="I258" i="10" s="1"/>
  <c r="B25" i="6"/>
  <c r="P25" i="6" s="1"/>
  <c r="Q25" i="6" s="1"/>
  <c r="T25" i="6"/>
  <c r="C26" i="6"/>
  <c r="E26" i="6" s="1"/>
  <c r="G26" i="6" s="1"/>
  <c r="I26" i="6" s="1"/>
  <c r="H111" i="8" l="1"/>
  <c r="T112" i="8"/>
  <c r="C112" i="8" s="1"/>
  <c r="R112" i="8"/>
  <c r="F112" i="8" s="1"/>
  <c r="G112" i="8" s="1"/>
  <c r="M115" i="10"/>
  <c r="K116" i="10"/>
  <c r="C258" i="10"/>
  <c r="B259" i="10"/>
  <c r="E259" i="10" s="1"/>
  <c r="G259" i="10" s="1"/>
  <c r="I259" i="10" s="1"/>
  <c r="B26" i="6"/>
  <c r="P26" i="6" s="1"/>
  <c r="Q26" i="6" s="1"/>
  <c r="T26" i="6"/>
  <c r="C27" i="6"/>
  <c r="E27" i="6" s="1"/>
  <c r="G27" i="6" s="1"/>
  <c r="I27" i="6" s="1"/>
  <c r="S112" i="8" l="1"/>
  <c r="M116" i="10"/>
  <c r="K117" i="10"/>
  <c r="C259" i="10"/>
  <c r="B260" i="10"/>
  <c r="E260" i="10" s="1"/>
  <c r="G260" i="10" s="1"/>
  <c r="I260" i="10" s="1"/>
  <c r="B27" i="6"/>
  <c r="P27" i="6" s="1"/>
  <c r="Q27" i="6" s="1"/>
  <c r="T27" i="6"/>
  <c r="C28" i="6"/>
  <c r="E28" i="6" s="1"/>
  <c r="G28" i="6" s="1"/>
  <c r="I28" i="6" s="1"/>
  <c r="H112" i="8" l="1"/>
  <c r="R113" i="8"/>
  <c r="F113" i="8" s="1"/>
  <c r="G113" i="8" s="1"/>
  <c r="T113" i="8"/>
  <c r="C113" i="8" s="1"/>
  <c r="M117" i="10"/>
  <c r="K118" i="10"/>
  <c r="C260" i="10"/>
  <c r="B261" i="10"/>
  <c r="E261" i="10" s="1"/>
  <c r="G261" i="10" s="1"/>
  <c r="I261" i="10" s="1"/>
  <c r="B28" i="6"/>
  <c r="P28" i="6" s="1"/>
  <c r="Q28" i="6" s="1"/>
  <c r="T28" i="6"/>
  <c r="C29" i="6"/>
  <c r="E29" i="6" s="1"/>
  <c r="G29" i="6" s="1"/>
  <c r="I29" i="6" s="1"/>
  <c r="S113" i="8" l="1"/>
  <c r="R114" i="8" s="1"/>
  <c r="F114" i="8" s="1"/>
  <c r="G114" i="8" s="1"/>
  <c r="M118" i="10"/>
  <c r="K119" i="10"/>
  <c r="C261" i="10"/>
  <c r="B262" i="10"/>
  <c r="E262" i="10" s="1"/>
  <c r="G262" i="10" s="1"/>
  <c r="I262" i="10" s="1"/>
  <c r="B29" i="6"/>
  <c r="P29" i="6" s="1"/>
  <c r="Q29" i="6" s="1"/>
  <c r="T29" i="6"/>
  <c r="C30" i="6"/>
  <c r="E30" i="6" s="1"/>
  <c r="G30" i="6" s="1"/>
  <c r="I30" i="6" s="1"/>
  <c r="H113" i="8" l="1"/>
  <c r="T114" i="8"/>
  <c r="C114" i="8" s="1"/>
  <c r="S114" i="8"/>
  <c r="M119" i="10"/>
  <c r="K120" i="10"/>
  <c r="C262" i="10"/>
  <c r="B263" i="10"/>
  <c r="E263" i="10" s="1"/>
  <c r="G263" i="10" s="1"/>
  <c r="I263" i="10" s="1"/>
  <c r="B30" i="6"/>
  <c r="P30" i="6" s="1"/>
  <c r="Q30" i="6" s="1"/>
  <c r="T30" i="6"/>
  <c r="C31" i="6"/>
  <c r="E31" i="6" s="1"/>
  <c r="G31" i="6" s="1"/>
  <c r="I31" i="6" s="1"/>
  <c r="R115" i="8" l="1"/>
  <c r="F115" i="8" s="1"/>
  <c r="G115" i="8" s="1"/>
  <c r="H114" i="8"/>
  <c r="T115" i="8"/>
  <c r="C115" i="8" s="1"/>
  <c r="M120" i="10"/>
  <c r="K121" i="10"/>
  <c r="C263" i="10"/>
  <c r="B264" i="10"/>
  <c r="E264" i="10" s="1"/>
  <c r="G264" i="10" s="1"/>
  <c r="I264" i="10" s="1"/>
  <c r="B31" i="6"/>
  <c r="P31" i="6" s="1"/>
  <c r="Q31" i="6" s="1"/>
  <c r="T31" i="6"/>
  <c r="C32" i="6"/>
  <c r="E32" i="6" s="1"/>
  <c r="G32" i="6" s="1"/>
  <c r="I32" i="6" s="1"/>
  <c r="S115" i="8" l="1"/>
  <c r="M121" i="10"/>
  <c r="K122" i="10"/>
  <c r="C264" i="10"/>
  <c r="B265" i="10"/>
  <c r="E265" i="10" s="1"/>
  <c r="G265" i="10" s="1"/>
  <c r="I265" i="10" s="1"/>
  <c r="B32" i="6"/>
  <c r="P32" i="6" s="1"/>
  <c r="Q32" i="6" s="1"/>
  <c r="T32" i="6"/>
  <c r="C33" i="6"/>
  <c r="E33" i="6" s="1"/>
  <c r="G33" i="6" s="1"/>
  <c r="I33" i="6" s="1"/>
  <c r="T116" i="8" l="1"/>
  <c r="C116" i="8" s="1"/>
  <c r="R116" i="8"/>
  <c r="F116" i="8" s="1"/>
  <c r="G116" i="8" s="1"/>
  <c r="H115" i="8"/>
  <c r="M122" i="10"/>
  <c r="K123" i="10"/>
  <c r="C265" i="10"/>
  <c r="B266" i="10"/>
  <c r="E266" i="10" s="1"/>
  <c r="G266" i="10" s="1"/>
  <c r="I266" i="10" s="1"/>
  <c r="N17" i="10" s="1"/>
  <c r="B33" i="6"/>
  <c r="P33" i="6" s="1"/>
  <c r="Q33" i="6" s="1"/>
  <c r="T33" i="6"/>
  <c r="C34" i="6"/>
  <c r="E34" i="6" s="1"/>
  <c r="G34" i="6" s="1"/>
  <c r="I34" i="6" s="1"/>
  <c r="S116" i="8" l="1"/>
  <c r="R117" i="8" s="1"/>
  <c r="F117" i="8" s="1"/>
  <c r="G117" i="8" s="1"/>
  <c r="M123" i="10"/>
  <c r="K124" i="10"/>
  <c r="C266" i="10"/>
  <c r="B267" i="10"/>
  <c r="E267" i="10" s="1"/>
  <c r="G267" i="10" s="1"/>
  <c r="I267" i="10" s="1"/>
  <c r="B34" i="6"/>
  <c r="P34" i="6" s="1"/>
  <c r="Q34" i="6" s="1"/>
  <c r="T34" i="6"/>
  <c r="C35" i="6"/>
  <c r="E35" i="6" s="1"/>
  <c r="G35" i="6" s="1"/>
  <c r="I35" i="6" s="1"/>
  <c r="T117" i="8" l="1"/>
  <c r="C117" i="8" s="1"/>
  <c r="H116" i="8"/>
  <c r="S117" i="8"/>
  <c r="M124" i="10"/>
  <c r="K125" i="10"/>
  <c r="C267" i="10"/>
  <c r="B268" i="10"/>
  <c r="E268" i="10" s="1"/>
  <c r="G268" i="10" s="1"/>
  <c r="I268" i="10" s="1"/>
  <c r="B35" i="6"/>
  <c r="P35" i="6" s="1"/>
  <c r="Q35" i="6" s="1"/>
  <c r="T35" i="6"/>
  <c r="C36" i="6"/>
  <c r="E36" i="6" s="1"/>
  <c r="G36" i="6" s="1"/>
  <c r="I36" i="6" s="1"/>
  <c r="R118" i="8" l="1"/>
  <c r="F118" i="8" s="1"/>
  <c r="G118" i="8" s="1"/>
  <c r="H117" i="8"/>
  <c r="T118" i="8"/>
  <c r="C118" i="8" s="1"/>
  <c r="M125" i="10"/>
  <c r="K126" i="10"/>
  <c r="C268" i="10"/>
  <c r="B269" i="10"/>
  <c r="E269" i="10" s="1"/>
  <c r="G269" i="10" s="1"/>
  <c r="I269" i="10" s="1"/>
  <c r="B36" i="6"/>
  <c r="P36" i="6" s="1"/>
  <c r="Q36" i="6" s="1"/>
  <c r="C37" i="6"/>
  <c r="E37" i="6" s="1"/>
  <c r="G37" i="6" s="1"/>
  <c r="I37" i="6" s="1"/>
  <c r="T36" i="6"/>
  <c r="S118" i="8" l="1"/>
  <c r="M126" i="10"/>
  <c r="K127" i="10"/>
  <c r="C269" i="10"/>
  <c r="B270" i="10"/>
  <c r="E270" i="10" s="1"/>
  <c r="G270" i="10" s="1"/>
  <c r="I270" i="10" s="1"/>
  <c r="B37" i="6"/>
  <c r="P37" i="6" s="1"/>
  <c r="Q37" i="6" s="1"/>
  <c r="T37" i="6"/>
  <c r="C38" i="6"/>
  <c r="E38" i="6" s="1"/>
  <c r="G38" i="6" s="1"/>
  <c r="I38" i="6" s="1"/>
  <c r="T119" i="8" l="1"/>
  <c r="C119" i="8" s="1"/>
  <c r="R119" i="8"/>
  <c r="F119" i="8" s="1"/>
  <c r="G119" i="8" s="1"/>
  <c r="H118" i="8"/>
  <c r="M127" i="10"/>
  <c r="K128" i="10"/>
  <c r="C270" i="10"/>
  <c r="B271" i="10"/>
  <c r="E271" i="10" s="1"/>
  <c r="G271" i="10" s="1"/>
  <c r="I271" i="10" s="1"/>
  <c r="B38" i="6"/>
  <c r="P38" i="6" s="1"/>
  <c r="Q38" i="6" s="1"/>
  <c r="T38" i="6"/>
  <c r="C39" i="6"/>
  <c r="E39" i="6" s="1"/>
  <c r="G39" i="6" s="1"/>
  <c r="I39" i="6" s="1"/>
  <c r="S119" i="8" l="1"/>
  <c r="M128" i="10"/>
  <c r="K129" i="10"/>
  <c r="C271" i="10"/>
  <c r="B272" i="10"/>
  <c r="E272" i="10" s="1"/>
  <c r="G272" i="10" s="1"/>
  <c r="I272" i="10" s="1"/>
  <c r="B39" i="6"/>
  <c r="P39" i="6" s="1"/>
  <c r="Q39" i="6" s="1"/>
  <c r="T39" i="6"/>
  <c r="C40" i="6"/>
  <c r="E40" i="6" s="1"/>
  <c r="G40" i="6" s="1"/>
  <c r="I40" i="6" s="1"/>
  <c r="T120" i="8" l="1"/>
  <c r="C120" i="8" s="1"/>
  <c r="H119" i="8"/>
  <c r="R120" i="8"/>
  <c r="F120" i="8" s="1"/>
  <c r="G120" i="8" s="1"/>
  <c r="M129" i="10"/>
  <c r="K130" i="10"/>
  <c r="C272" i="10"/>
  <c r="B273" i="10"/>
  <c r="E273" i="10" s="1"/>
  <c r="G273" i="10" s="1"/>
  <c r="I273" i="10" s="1"/>
  <c r="B40" i="6"/>
  <c r="P40" i="6" s="1"/>
  <c r="Q40" i="6" s="1"/>
  <c r="C41" i="6"/>
  <c r="E41" i="6" s="1"/>
  <c r="G41" i="6" s="1"/>
  <c r="I41" i="6" s="1"/>
  <c r="T40" i="6"/>
  <c r="S120" i="8" l="1"/>
  <c r="M130" i="10"/>
  <c r="K131" i="10"/>
  <c r="C273" i="10"/>
  <c r="B274" i="10"/>
  <c r="E274" i="10" s="1"/>
  <c r="G274" i="10" s="1"/>
  <c r="I274" i="10" s="1"/>
  <c r="B41" i="6"/>
  <c r="P41" i="6" s="1"/>
  <c r="Q41" i="6" s="1"/>
  <c r="T41" i="6"/>
  <c r="C42" i="6"/>
  <c r="E42" i="6" s="1"/>
  <c r="G42" i="6" s="1"/>
  <c r="I42" i="6" s="1"/>
  <c r="R121" i="8" l="1"/>
  <c r="F121" i="8" s="1"/>
  <c r="G121" i="8" s="1"/>
  <c r="T121" i="8"/>
  <c r="C121" i="8" s="1"/>
  <c r="H120" i="8"/>
  <c r="M131" i="10"/>
  <c r="K132" i="10"/>
  <c r="C274" i="10"/>
  <c r="B275" i="10"/>
  <c r="E275" i="10" s="1"/>
  <c r="G275" i="10" s="1"/>
  <c r="I275" i="10" s="1"/>
  <c r="B42" i="6"/>
  <c r="P42" i="6" s="1"/>
  <c r="Q42" i="6" s="1"/>
  <c r="T42" i="6"/>
  <c r="C43" i="6"/>
  <c r="E43" i="6" s="1"/>
  <c r="G43" i="6" s="1"/>
  <c r="I43" i="6" s="1"/>
  <c r="S121" i="8" l="1"/>
  <c r="M132" i="10"/>
  <c r="K133" i="10"/>
  <c r="C275" i="10"/>
  <c r="B276" i="10"/>
  <c r="E276" i="10" s="1"/>
  <c r="G276" i="10" s="1"/>
  <c r="I276" i="10" s="1"/>
  <c r="B43" i="6"/>
  <c r="P43" i="6" s="1"/>
  <c r="Q43" i="6" s="1"/>
  <c r="T43" i="6"/>
  <c r="C44" i="6"/>
  <c r="E44" i="6" s="1"/>
  <c r="G44" i="6" s="1"/>
  <c r="I44" i="6" s="1"/>
  <c r="R122" i="8" l="1"/>
  <c r="F122" i="8" s="1"/>
  <c r="G122" i="8" s="1"/>
  <c r="H121" i="8"/>
  <c r="T122" i="8"/>
  <c r="C122" i="8" s="1"/>
  <c r="M133" i="10"/>
  <c r="K134" i="10"/>
  <c r="C276" i="10"/>
  <c r="B277" i="10"/>
  <c r="E277" i="10" s="1"/>
  <c r="G277" i="10" s="1"/>
  <c r="I277" i="10" s="1"/>
  <c r="B44" i="6"/>
  <c r="P44" i="6" s="1"/>
  <c r="Q44" i="6" s="1"/>
  <c r="C45" i="6"/>
  <c r="E45" i="6" s="1"/>
  <c r="G45" i="6" s="1"/>
  <c r="I45" i="6" s="1"/>
  <c r="T44" i="6"/>
  <c r="S122" i="8" l="1"/>
  <c r="M134" i="10"/>
  <c r="K135" i="10"/>
  <c r="C277" i="10"/>
  <c r="B278" i="10"/>
  <c r="E278" i="10" s="1"/>
  <c r="G278" i="10" s="1"/>
  <c r="I278" i="10" s="1"/>
  <c r="B45" i="6"/>
  <c r="P45" i="6" s="1"/>
  <c r="Q45" i="6" s="1"/>
  <c r="T45" i="6"/>
  <c r="C46" i="6"/>
  <c r="E46" i="6" s="1"/>
  <c r="G46" i="6" s="1"/>
  <c r="I46" i="6" s="1"/>
  <c r="H122" i="8" l="1"/>
  <c r="R123" i="8"/>
  <c r="F123" i="8" s="1"/>
  <c r="G123" i="8" s="1"/>
  <c r="T123" i="8"/>
  <c r="C123" i="8" s="1"/>
  <c r="M135" i="10"/>
  <c r="K136" i="10"/>
  <c r="C278" i="10"/>
  <c r="B279" i="10"/>
  <c r="E279" i="10" s="1"/>
  <c r="G279" i="10" s="1"/>
  <c r="I279" i="10" s="1"/>
  <c r="B46" i="6"/>
  <c r="T46" i="6"/>
  <c r="C47" i="6"/>
  <c r="E47" i="6" s="1"/>
  <c r="G47" i="6" s="1"/>
  <c r="I47" i="6" s="1"/>
  <c r="S123" i="8" l="1"/>
  <c r="M136" i="10"/>
  <c r="K137" i="10"/>
  <c r="C279" i="10"/>
  <c r="B280" i="10"/>
  <c r="E280" i="10" s="1"/>
  <c r="G280" i="10" s="1"/>
  <c r="I280" i="10" s="1"/>
  <c r="P46" i="6"/>
  <c r="Q46" i="6" s="1"/>
  <c r="B47" i="6"/>
  <c r="C48" i="6"/>
  <c r="E48" i="6" s="1"/>
  <c r="G48" i="6" s="1"/>
  <c r="I48" i="6" s="1"/>
  <c r="T47" i="6"/>
  <c r="T124" i="8" l="1"/>
  <c r="C124" i="8" s="1"/>
  <c r="H123" i="8"/>
  <c r="R124" i="8"/>
  <c r="F124" i="8" s="1"/>
  <c r="G124" i="8" s="1"/>
  <c r="M137" i="10"/>
  <c r="K138" i="10"/>
  <c r="C280" i="10"/>
  <c r="B281" i="10"/>
  <c r="E281" i="10" s="1"/>
  <c r="G281" i="10" s="1"/>
  <c r="I281" i="10" s="1"/>
  <c r="P47" i="6"/>
  <c r="Q47" i="6" s="1"/>
  <c r="B48" i="6"/>
  <c r="C49" i="6"/>
  <c r="E49" i="6" s="1"/>
  <c r="G49" i="6" s="1"/>
  <c r="I49" i="6" s="1"/>
  <c r="T48" i="6"/>
  <c r="S124" i="8" l="1"/>
  <c r="R125" i="8" s="1"/>
  <c r="F125" i="8" s="1"/>
  <c r="G125" i="8" s="1"/>
  <c r="M138" i="10"/>
  <c r="K139" i="10"/>
  <c r="C281" i="10"/>
  <c r="B282" i="10"/>
  <c r="E282" i="10" s="1"/>
  <c r="G282" i="10" s="1"/>
  <c r="I282" i="10" s="1"/>
  <c r="P48" i="6"/>
  <c r="Q48" i="6" s="1"/>
  <c r="B49" i="6"/>
  <c r="T49" i="6"/>
  <c r="C50" i="6"/>
  <c r="E50" i="6" s="1"/>
  <c r="G50" i="6" s="1"/>
  <c r="I50" i="6" s="1"/>
  <c r="T125" i="8" l="1"/>
  <c r="C125" i="8" s="1"/>
  <c r="H124" i="8"/>
  <c r="S125" i="8"/>
  <c r="T126" i="8"/>
  <c r="C126" i="8" s="1"/>
  <c r="R126" i="8"/>
  <c r="F126" i="8" s="1"/>
  <c r="G126" i="8" s="1"/>
  <c r="H125" i="8"/>
  <c r="M139" i="10"/>
  <c r="K140" i="10"/>
  <c r="C282" i="10"/>
  <c r="B283" i="10"/>
  <c r="E283" i="10" s="1"/>
  <c r="G283" i="10" s="1"/>
  <c r="I283" i="10" s="1"/>
  <c r="P49" i="6"/>
  <c r="Q49" i="6" s="1"/>
  <c r="B50" i="6"/>
  <c r="C51" i="6"/>
  <c r="E51" i="6" s="1"/>
  <c r="G51" i="6" s="1"/>
  <c r="I51" i="6" s="1"/>
  <c r="T50" i="6"/>
  <c r="S126" i="8" l="1"/>
  <c r="H126" i="8" s="1"/>
  <c r="M140" i="10"/>
  <c r="K141" i="10"/>
  <c r="C283" i="10"/>
  <c r="B284" i="10"/>
  <c r="E284" i="10" s="1"/>
  <c r="G284" i="10" s="1"/>
  <c r="I284" i="10" s="1"/>
  <c r="P50" i="6"/>
  <c r="Q50" i="6" s="1"/>
  <c r="B51" i="6"/>
  <c r="T51" i="6"/>
  <c r="C52" i="6"/>
  <c r="E52" i="6" s="1"/>
  <c r="G52" i="6" s="1"/>
  <c r="I52" i="6" s="1"/>
  <c r="R127" i="8" l="1"/>
  <c r="F127" i="8" s="1"/>
  <c r="G127" i="8" s="1"/>
  <c r="T127" i="8"/>
  <c r="C127" i="8" s="1"/>
  <c r="M141" i="10"/>
  <c r="K142" i="10"/>
  <c r="C284" i="10"/>
  <c r="B285" i="10"/>
  <c r="E285" i="10" s="1"/>
  <c r="G285" i="10" s="1"/>
  <c r="I285" i="10" s="1"/>
  <c r="P51" i="6"/>
  <c r="Q51" i="6" s="1"/>
  <c r="B52" i="6"/>
  <c r="T52" i="6"/>
  <c r="C53" i="6"/>
  <c r="E53" i="6" s="1"/>
  <c r="G53" i="6" s="1"/>
  <c r="I53" i="6" s="1"/>
  <c r="S127" i="8" l="1"/>
  <c r="T128" i="8" s="1"/>
  <c r="C128" i="8" s="1"/>
  <c r="M142" i="10"/>
  <c r="K143" i="10"/>
  <c r="C285" i="10"/>
  <c r="B286" i="10"/>
  <c r="E286" i="10" s="1"/>
  <c r="G286" i="10" s="1"/>
  <c r="I286" i="10" s="1"/>
  <c r="P52" i="6"/>
  <c r="Q52" i="6" s="1"/>
  <c r="B53" i="6"/>
  <c r="T53" i="6"/>
  <c r="C54" i="6"/>
  <c r="E54" i="6" s="1"/>
  <c r="G54" i="6" s="1"/>
  <c r="I54" i="6" s="1"/>
  <c r="H127" i="8" l="1"/>
  <c r="R128" i="8"/>
  <c r="F128" i="8" s="1"/>
  <c r="G128" i="8" s="1"/>
  <c r="S128" i="8"/>
  <c r="T129" i="8" s="1"/>
  <c r="C129" i="8" s="1"/>
  <c r="R129" i="8"/>
  <c r="F129" i="8" s="1"/>
  <c r="G129" i="8" s="1"/>
  <c r="M143" i="10"/>
  <c r="K144" i="10"/>
  <c r="C286" i="10"/>
  <c r="B287" i="10"/>
  <c r="E287" i="10" s="1"/>
  <c r="G287" i="10" s="1"/>
  <c r="I287" i="10" s="1"/>
  <c r="P53" i="6"/>
  <c r="Q53" i="6" s="1"/>
  <c r="B54" i="6"/>
  <c r="C55" i="6"/>
  <c r="E55" i="6" s="1"/>
  <c r="G55" i="6" s="1"/>
  <c r="I55" i="6" s="1"/>
  <c r="T54" i="6"/>
  <c r="H128" i="8" l="1"/>
  <c r="S129" i="8"/>
  <c r="M144" i="10"/>
  <c r="K145" i="10"/>
  <c r="C287" i="10"/>
  <c r="B288" i="10"/>
  <c r="E288" i="10" s="1"/>
  <c r="G288" i="10" s="1"/>
  <c r="I288" i="10" s="1"/>
  <c r="P54" i="6"/>
  <c r="Q54" i="6" s="1"/>
  <c r="B55" i="6"/>
  <c r="T55" i="6"/>
  <c r="C56" i="6"/>
  <c r="E56" i="6" s="1"/>
  <c r="G56" i="6" s="1"/>
  <c r="I56" i="6" s="1"/>
  <c r="T130" i="8" l="1"/>
  <c r="C130" i="8" s="1"/>
  <c r="R130" i="8"/>
  <c r="F130" i="8" s="1"/>
  <c r="G130" i="8" s="1"/>
  <c r="H129" i="8"/>
  <c r="M145" i="10"/>
  <c r="K146" i="10"/>
  <c r="C288" i="10"/>
  <c r="B289" i="10"/>
  <c r="E289" i="10" s="1"/>
  <c r="G289" i="10" s="1"/>
  <c r="I289" i="10" s="1"/>
  <c r="P55" i="6"/>
  <c r="Q55" i="6" s="1"/>
  <c r="B56" i="6"/>
  <c r="T56" i="6"/>
  <c r="C57" i="6"/>
  <c r="E57" i="6" s="1"/>
  <c r="G57" i="6" s="1"/>
  <c r="I57" i="6" s="1"/>
  <c r="S130" i="8" l="1"/>
  <c r="M146" i="10"/>
  <c r="K147" i="10"/>
  <c r="C289" i="10"/>
  <c r="B290" i="10"/>
  <c r="E290" i="10" s="1"/>
  <c r="G290" i="10" s="1"/>
  <c r="I290" i="10" s="1"/>
  <c r="P56" i="6"/>
  <c r="Q56" i="6" s="1"/>
  <c r="B57" i="6"/>
  <c r="C58" i="6"/>
  <c r="E58" i="6" s="1"/>
  <c r="G58" i="6" s="1"/>
  <c r="I58" i="6" s="1"/>
  <c r="T57" i="6"/>
  <c r="R131" i="8" l="1"/>
  <c r="F131" i="8" s="1"/>
  <c r="G131" i="8" s="1"/>
  <c r="H130" i="8"/>
  <c r="T131" i="8"/>
  <c r="C131" i="8" s="1"/>
  <c r="M147" i="10"/>
  <c r="K148" i="10"/>
  <c r="C290" i="10"/>
  <c r="B291" i="10"/>
  <c r="E291" i="10" s="1"/>
  <c r="G291" i="10" s="1"/>
  <c r="I291" i="10" s="1"/>
  <c r="P57" i="6"/>
  <c r="Q57" i="6" s="1"/>
  <c r="B58" i="6"/>
  <c r="T58" i="6"/>
  <c r="C59" i="6"/>
  <c r="E59" i="6" s="1"/>
  <c r="G59" i="6" s="1"/>
  <c r="I59" i="6" s="1"/>
  <c r="S131" i="8" l="1"/>
  <c r="M148" i="10"/>
  <c r="K149" i="10"/>
  <c r="C291" i="10"/>
  <c r="B292" i="10"/>
  <c r="E292" i="10" s="1"/>
  <c r="G292" i="10" s="1"/>
  <c r="I292" i="10" s="1"/>
  <c r="P58" i="6"/>
  <c r="Q58" i="6" s="1"/>
  <c r="B59" i="6"/>
  <c r="T59" i="6"/>
  <c r="C60" i="6"/>
  <c r="E60" i="6" s="1"/>
  <c r="G60" i="6" s="1"/>
  <c r="I60" i="6" s="1"/>
  <c r="H131" i="8" l="1"/>
  <c r="R132" i="8"/>
  <c r="F132" i="8" s="1"/>
  <c r="G132" i="8" s="1"/>
  <c r="T132" i="8"/>
  <c r="C132" i="8" s="1"/>
  <c r="M149" i="10"/>
  <c r="K150" i="10"/>
  <c r="C292" i="10"/>
  <c r="B293" i="10"/>
  <c r="E293" i="10" s="1"/>
  <c r="G293" i="10" s="1"/>
  <c r="I293" i="10" s="1"/>
  <c r="P59" i="6"/>
  <c r="Q59" i="6" s="1"/>
  <c r="B60" i="6"/>
  <c r="T60" i="6"/>
  <c r="C61" i="6"/>
  <c r="E61" i="6" s="1"/>
  <c r="G61" i="6" s="1"/>
  <c r="I61" i="6" s="1"/>
  <c r="S132" i="8" l="1"/>
  <c r="M150" i="10"/>
  <c r="K151" i="10"/>
  <c r="C293" i="10"/>
  <c r="B294" i="10"/>
  <c r="E294" i="10" s="1"/>
  <c r="G294" i="10" s="1"/>
  <c r="I294" i="10" s="1"/>
  <c r="P60" i="6"/>
  <c r="Q60" i="6" s="1"/>
  <c r="B61" i="6"/>
  <c r="T61" i="6"/>
  <c r="C62" i="6"/>
  <c r="E62" i="6" s="1"/>
  <c r="G62" i="6" s="1"/>
  <c r="I62" i="6" s="1"/>
  <c r="T133" i="8" l="1"/>
  <c r="C133" i="8" s="1"/>
  <c r="R133" i="8"/>
  <c r="F133" i="8" s="1"/>
  <c r="G133" i="8" s="1"/>
  <c r="H132" i="8"/>
  <c r="M151" i="10"/>
  <c r="K152" i="10"/>
  <c r="C294" i="10"/>
  <c r="B295" i="10"/>
  <c r="E295" i="10" s="1"/>
  <c r="G295" i="10" s="1"/>
  <c r="I295" i="10" s="1"/>
  <c r="P61" i="6"/>
  <c r="Q61" i="6" s="1"/>
  <c r="B62" i="6"/>
  <c r="C63" i="6"/>
  <c r="E63" i="6" s="1"/>
  <c r="G63" i="6" s="1"/>
  <c r="I63" i="6" s="1"/>
  <c r="T62" i="6"/>
  <c r="S133" i="8" l="1"/>
  <c r="M152" i="10"/>
  <c r="K153" i="10"/>
  <c r="C295" i="10"/>
  <c r="B296" i="10"/>
  <c r="E296" i="10" s="1"/>
  <c r="G296" i="10" s="1"/>
  <c r="I296" i="10" s="1"/>
  <c r="P62" i="6"/>
  <c r="Q62" i="6" s="1"/>
  <c r="B63" i="6"/>
  <c r="T63" i="6"/>
  <c r="C64" i="6"/>
  <c r="E64" i="6" s="1"/>
  <c r="G64" i="6" s="1"/>
  <c r="I64" i="6" s="1"/>
  <c r="R134" i="8" l="1"/>
  <c r="F134" i="8" s="1"/>
  <c r="G134" i="8" s="1"/>
  <c r="T134" i="8"/>
  <c r="C134" i="8" s="1"/>
  <c r="H133" i="8"/>
  <c r="M153" i="10"/>
  <c r="K154" i="10"/>
  <c r="C296" i="10"/>
  <c r="B297" i="10"/>
  <c r="E297" i="10" s="1"/>
  <c r="G297" i="10" s="1"/>
  <c r="I297" i="10" s="1"/>
  <c r="P63" i="6"/>
  <c r="Q63" i="6" s="1"/>
  <c r="B64" i="6"/>
  <c r="C65" i="6"/>
  <c r="E65" i="6" s="1"/>
  <c r="G65" i="6" s="1"/>
  <c r="I65" i="6" s="1"/>
  <c r="T64" i="6"/>
  <c r="S134" i="8" l="1"/>
  <c r="R135" i="8" s="1"/>
  <c r="F135" i="8" s="1"/>
  <c r="G135" i="8" s="1"/>
  <c r="M154" i="10"/>
  <c r="K155" i="10"/>
  <c r="C297" i="10"/>
  <c r="B298" i="10"/>
  <c r="E298" i="10" s="1"/>
  <c r="G298" i="10" s="1"/>
  <c r="I298" i="10" s="1"/>
  <c r="P64" i="6"/>
  <c r="Q64" i="6" s="1"/>
  <c r="B65" i="6"/>
  <c r="T65" i="6"/>
  <c r="C66" i="6"/>
  <c r="E66" i="6" s="1"/>
  <c r="G66" i="6" s="1"/>
  <c r="I66" i="6" s="1"/>
  <c r="T66" i="6" s="1"/>
  <c r="T135" i="8" l="1"/>
  <c r="C135" i="8" s="1"/>
  <c r="H134" i="8"/>
  <c r="S135" i="8"/>
  <c r="M155" i="10"/>
  <c r="K156" i="10"/>
  <c r="C298" i="10"/>
  <c r="B299" i="10"/>
  <c r="E299" i="10" s="1"/>
  <c r="G299" i="10" s="1"/>
  <c r="I299" i="10" s="1"/>
  <c r="P65" i="6"/>
  <c r="Q65" i="6" s="1"/>
  <c r="B66" i="6"/>
  <c r="P66" i="6" s="1"/>
  <c r="Q66" i="6" s="1"/>
  <c r="N10" i="6" s="1" a="1"/>
  <c r="N10" i="6" s="1"/>
  <c r="H135" i="8" l="1"/>
  <c r="T136" i="8"/>
  <c r="C136" i="8" s="1"/>
  <c r="R136" i="8"/>
  <c r="F136" i="8" s="1"/>
  <c r="G136" i="8" s="1"/>
  <c r="M156" i="10"/>
  <c r="K157" i="10"/>
  <c r="C299" i="10"/>
  <c r="B300" i="10"/>
  <c r="E300" i="10" s="1"/>
  <c r="G300" i="10" s="1"/>
  <c r="I300" i="10" s="1"/>
  <c r="S136" i="8" l="1"/>
  <c r="M157" i="10"/>
  <c r="K158" i="10"/>
  <c r="C300" i="10"/>
  <c r="B301" i="10"/>
  <c r="E301" i="10" s="1"/>
  <c r="G301" i="10" s="1"/>
  <c r="I301" i="10" s="1"/>
  <c r="T137" i="8" l="1"/>
  <c r="C137" i="8" s="1"/>
  <c r="R137" i="8"/>
  <c r="F137" i="8" s="1"/>
  <c r="G137" i="8" s="1"/>
  <c r="H136" i="8"/>
  <c r="M158" i="10"/>
  <c r="K159" i="10"/>
  <c r="C301" i="10"/>
  <c r="B302" i="10"/>
  <c r="E302" i="10" s="1"/>
  <c r="G302" i="10" s="1"/>
  <c r="I302" i="10" s="1"/>
  <c r="S137" i="8" l="1"/>
  <c r="R138" i="8" s="1"/>
  <c r="F138" i="8" s="1"/>
  <c r="G138" i="8" s="1"/>
  <c r="M159" i="10"/>
  <c r="K160" i="10"/>
  <c r="C302" i="10"/>
  <c r="B303" i="10"/>
  <c r="E303" i="10" s="1"/>
  <c r="G303" i="10" s="1"/>
  <c r="I303" i="10" s="1"/>
  <c r="H137" i="8" l="1"/>
  <c r="T138" i="8"/>
  <c r="C138" i="8" s="1"/>
  <c r="S138" i="8"/>
  <c r="M160" i="10"/>
  <c r="K161" i="10"/>
  <c r="C303" i="10"/>
  <c r="B304" i="10"/>
  <c r="E304" i="10" s="1"/>
  <c r="G304" i="10" s="1"/>
  <c r="I304" i="10" s="1"/>
  <c r="T139" i="8" l="1"/>
  <c r="C139" i="8" s="1"/>
  <c r="R139" i="8"/>
  <c r="F139" i="8" s="1"/>
  <c r="G139" i="8" s="1"/>
  <c r="H138" i="8"/>
  <c r="M161" i="10"/>
  <c r="K162" i="10"/>
  <c r="C304" i="10"/>
  <c r="B305" i="10"/>
  <c r="E305" i="10" s="1"/>
  <c r="G305" i="10" s="1"/>
  <c r="I305" i="10" s="1"/>
  <c r="S139" i="8" l="1"/>
  <c r="M162" i="10"/>
  <c r="K163" i="10"/>
  <c r="C305" i="10"/>
  <c r="B306" i="10"/>
  <c r="E306" i="10" s="1"/>
  <c r="G306" i="10" s="1"/>
  <c r="I306" i="10" s="1"/>
  <c r="H139" i="8" l="1"/>
  <c r="T140" i="8"/>
  <c r="C140" i="8" s="1"/>
  <c r="R140" i="8"/>
  <c r="M163" i="10"/>
  <c r="K164" i="10"/>
  <c r="C306" i="10"/>
  <c r="B307" i="10"/>
  <c r="E307" i="10" s="1"/>
  <c r="G307" i="10" s="1"/>
  <c r="I307" i="10" s="1"/>
  <c r="F140" i="8" l="1"/>
  <c r="G140" i="8" s="1"/>
  <c r="S140" i="8"/>
  <c r="T141" i="8" s="1"/>
  <c r="C141" i="8" s="1"/>
  <c r="M164" i="10"/>
  <c r="K165" i="10"/>
  <c r="C307" i="10"/>
  <c r="B308" i="10"/>
  <c r="E308" i="10" s="1"/>
  <c r="G308" i="10" s="1"/>
  <c r="I308" i="10" s="1"/>
  <c r="R141" i="8" l="1"/>
  <c r="F141" i="8" s="1"/>
  <c r="G141" i="8" s="1"/>
  <c r="H140" i="8"/>
  <c r="M165" i="10"/>
  <c r="K166" i="10"/>
  <c r="C308" i="10"/>
  <c r="B309" i="10"/>
  <c r="E309" i="10" s="1"/>
  <c r="G309" i="10" s="1"/>
  <c r="I309" i="10" s="1"/>
  <c r="S141" i="8" l="1"/>
  <c r="T142" i="8" s="1"/>
  <c r="C142" i="8" s="1"/>
  <c r="M166" i="10"/>
  <c r="K167" i="10"/>
  <c r="C309" i="10"/>
  <c r="B310" i="10"/>
  <c r="E310" i="10" s="1"/>
  <c r="G310" i="10" s="1"/>
  <c r="I310" i="10" s="1"/>
  <c r="H141" i="8" l="1"/>
  <c r="R142" i="8"/>
  <c r="F142" i="8" s="1"/>
  <c r="G142" i="8" s="1"/>
  <c r="M167" i="10"/>
  <c r="K168" i="10"/>
  <c r="C310" i="10"/>
  <c r="B311" i="10"/>
  <c r="E311" i="10" s="1"/>
  <c r="G311" i="10" s="1"/>
  <c r="I311" i="10" s="1"/>
  <c r="S142" i="8" l="1"/>
  <c r="T143" i="8" s="1"/>
  <c r="C143" i="8" s="1"/>
  <c r="M168" i="10"/>
  <c r="K169" i="10"/>
  <c r="C311" i="10"/>
  <c r="B312" i="10"/>
  <c r="E312" i="10" s="1"/>
  <c r="G312" i="10" s="1"/>
  <c r="I312" i="10" s="1"/>
  <c r="R143" i="8" l="1"/>
  <c r="H142" i="8"/>
  <c r="S143" i="8"/>
  <c r="F143" i="8"/>
  <c r="G143" i="8" s="1"/>
  <c r="M169" i="10"/>
  <c r="K170" i="10"/>
  <c r="C312" i="10"/>
  <c r="B313" i="10"/>
  <c r="E313" i="10" s="1"/>
  <c r="G313" i="10" s="1"/>
  <c r="I313" i="10" s="1"/>
  <c r="R144" i="8" l="1"/>
  <c r="T144" i="8"/>
  <c r="C144" i="8" s="1"/>
  <c r="H143" i="8"/>
  <c r="M170" i="10"/>
  <c r="K171" i="10"/>
  <c r="C313" i="10"/>
  <c r="B314" i="10"/>
  <c r="E314" i="10" s="1"/>
  <c r="G314" i="10" s="1"/>
  <c r="I314" i="10" s="1"/>
  <c r="F144" i="8" l="1"/>
  <c r="G144" i="8" s="1"/>
  <c r="S144" i="8"/>
  <c r="M171" i="10"/>
  <c r="K172" i="10"/>
  <c r="C314" i="10"/>
  <c r="B315" i="10"/>
  <c r="E315" i="10" s="1"/>
  <c r="G315" i="10" s="1"/>
  <c r="I315" i="10" s="1"/>
  <c r="T145" i="8" l="1"/>
  <c r="C145" i="8" s="1"/>
  <c r="R145" i="8"/>
  <c r="H144" i="8"/>
  <c r="M172" i="10"/>
  <c r="K173" i="10"/>
  <c r="C315" i="10"/>
  <c r="B316" i="10"/>
  <c r="E316" i="10" s="1"/>
  <c r="G316" i="10" s="1"/>
  <c r="I316" i="10" s="1"/>
  <c r="F145" i="8" l="1"/>
  <c r="G145" i="8" s="1"/>
  <c r="S145" i="8"/>
  <c r="M173" i="10"/>
  <c r="K174" i="10"/>
  <c r="C316" i="10"/>
  <c r="B317" i="10"/>
  <c r="E317" i="10" s="1"/>
  <c r="G317" i="10" s="1"/>
  <c r="I317" i="10" s="1"/>
  <c r="T146" i="8" l="1"/>
  <c r="C146" i="8" s="1"/>
  <c r="H145" i="8"/>
  <c r="R146" i="8"/>
  <c r="M174" i="10"/>
  <c r="K175" i="10"/>
  <c r="C317" i="10"/>
  <c r="B318" i="10"/>
  <c r="E318" i="10" s="1"/>
  <c r="G318" i="10" s="1"/>
  <c r="I318" i="10" s="1"/>
  <c r="F146" i="8" l="1"/>
  <c r="G146" i="8" s="1"/>
  <c r="S146" i="8"/>
  <c r="M175" i="10"/>
  <c r="K176" i="10"/>
  <c r="C318" i="10"/>
  <c r="B319" i="10"/>
  <c r="E319" i="10" s="1"/>
  <c r="G319" i="10" s="1"/>
  <c r="I319" i="10" s="1"/>
  <c r="T147" i="8" l="1"/>
  <c r="C147" i="8" s="1"/>
  <c r="H146" i="8"/>
  <c r="R147" i="8"/>
  <c r="F147" i="8" s="1"/>
  <c r="G147" i="8" s="1"/>
  <c r="M176" i="10"/>
  <c r="K177" i="10"/>
  <c r="C319" i="10"/>
  <c r="B320" i="10"/>
  <c r="E320" i="10" s="1"/>
  <c r="G320" i="10" s="1"/>
  <c r="I320" i="10" s="1"/>
  <c r="S147" i="8" l="1"/>
  <c r="R148" i="8" s="1"/>
  <c r="M177" i="10"/>
  <c r="K178" i="10"/>
  <c r="C320" i="10"/>
  <c r="B321" i="10"/>
  <c r="E321" i="10" s="1"/>
  <c r="G321" i="10" s="1"/>
  <c r="I321" i="10" s="1"/>
  <c r="H147" i="8" l="1"/>
  <c r="T148" i="8"/>
  <c r="C148" i="8" s="1"/>
  <c r="F148" i="8"/>
  <c r="G148" i="8" s="1"/>
  <c r="S148" i="8"/>
  <c r="M178" i="10"/>
  <c r="K179" i="10"/>
  <c r="C321" i="10"/>
  <c r="B322" i="10"/>
  <c r="E322" i="10" s="1"/>
  <c r="G322" i="10" s="1"/>
  <c r="I322" i="10" s="1"/>
  <c r="H148" i="8" l="1"/>
  <c r="T149" i="8"/>
  <c r="C149" i="8" s="1"/>
  <c r="R149" i="8"/>
  <c r="M179" i="10"/>
  <c r="K180" i="10"/>
  <c r="C322" i="10"/>
  <c r="B323" i="10"/>
  <c r="E323" i="10" s="1"/>
  <c r="G323" i="10" s="1"/>
  <c r="I323" i="10" s="1"/>
  <c r="F149" i="8" l="1"/>
  <c r="G149" i="8" s="1"/>
  <c r="S149" i="8"/>
  <c r="M180" i="10"/>
  <c r="K181" i="10"/>
  <c r="C323" i="10"/>
  <c r="B324" i="10"/>
  <c r="E324" i="10" s="1"/>
  <c r="G324" i="10" s="1"/>
  <c r="I324" i="10" s="1"/>
  <c r="R150" i="8" l="1"/>
  <c r="H149" i="8"/>
  <c r="T150" i="8"/>
  <c r="C150" i="8" s="1"/>
  <c r="M181" i="10"/>
  <c r="K182" i="10"/>
  <c r="C324" i="10"/>
  <c r="B325" i="10"/>
  <c r="E325" i="10" s="1"/>
  <c r="G325" i="10" s="1"/>
  <c r="I325" i="10" s="1"/>
  <c r="F150" i="8" l="1"/>
  <c r="G150" i="8" s="1"/>
  <c r="S150" i="8"/>
  <c r="M182" i="10"/>
  <c r="K183" i="10"/>
  <c r="C325" i="10"/>
  <c r="B326" i="10"/>
  <c r="E326" i="10" s="1"/>
  <c r="G326" i="10" s="1"/>
  <c r="I326" i="10" s="1"/>
  <c r="H150" i="8" l="1"/>
  <c r="R151" i="8"/>
  <c r="T151" i="8"/>
  <c r="C151" i="8" s="1"/>
  <c r="M183" i="10"/>
  <c r="K184" i="10"/>
  <c r="C326" i="10"/>
  <c r="B327" i="10"/>
  <c r="F151" i="8" l="1"/>
  <c r="G151" i="8" s="1"/>
  <c r="S151" i="8"/>
  <c r="E327" i="10"/>
  <c r="G327" i="10" s="1"/>
  <c r="I327" i="10" s="1"/>
  <c r="M184" i="10"/>
  <c r="K185" i="10"/>
  <c r="C327" i="10"/>
  <c r="B328" i="10"/>
  <c r="T152" i="8" l="1"/>
  <c r="C152" i="8" s="1"/>
  <c r="H151" i="8"/>
  <c r="R152" i="8"/>
  <c r="F152" i="8" s="1"/>
  <c r="G152" i="8" s="1"/>
  <c r="E328" i="10"/>
  <c r="G328" i="10" s="1"/>
  <c r="I328" i="10" s="1"/>
  <c r="M185" i="10"/>
  <c r="K186" i="10"/>
  <c r="C328" i="10"/>
  <c r="B329" i="10"/>
  <c r="S152" i="8" l="1"/>
  <c r="R153" i="8" s="1"/>
  <c r="H152" i="8"/>
  <c r="E329" i="10"/>
  <c r="G329" i="10" s="1"/>
  <c r="I329" i="10" s="1"/>
  <c r="M186" i="10"/>
  <c r="K187" i="10"/>
  <c r="C329" i="10"/>
  <c r="B330" i="10"/>
  <c r="T153" i="8" l="1"/>
  <c r="C153" i="8" s="1"/>
  <c r="S153" i="8"/>
  <c r="F153" i="8"/>
  <c r="G153" i="8" s="1"/>
  <c r="E330" i="10"/>
  <c r="G330" i="10" s="1"/>
  <c r="I330" i="10" s="1"/>
  <c r="M187" i="10"/>
  <c r="K188" i="10"/>
  <c r="C330" i="10"/>
  <c r="B331" i="10"/>
  <c r="T154" i="8" l="1"/>
  <c r="C154" i="8" s="1"/>
  <c r="R154" i="8"/>
  <c r="H153" i="8"/>
  <c r="E331" i="10"/>
  <c r="G331" i="10" s="1"/>
  <c r="I331" i="10" s="1"/>
  <c r="M188" i="10"/>
  <c r="K189" i="10"/>
  <c r="C331" i="10"/>
  <c r="B332" i="10"/>
  <c r="F154" i="8" l="1"/>
  <c r="G154" i="8" s="1"/>
  <c r="S154" i="8"/>
  <c r="E332" i="10"/>
  <c r="G332" i="10" s="1"/>
  <c r="I332" i="10" s="1"/>
  <c r="M189" i="10"/>
  <c r="K190" i="10"/>
  <c r="C332" i="10"/>
  <c r="B333" i="10"/>
  <c r="R155" i="8" l="1"/>
  <c r="H154" i="8"/>
  <c r="T155" i="8"/>
  <c r="C155" i="8" s="1"/>
  <c r="E333" i="10"/>
  <c r="G333" i="10" s="1"/>
  <c r="I333" i="10" s="1"/>
  <c r="M190" i="10"/>
  <c r="K191" i="10"/>
  <c r="C333" i="10"/>
  <c r="B334" i="10"/>
  <c r="F155" i="8" l="1"/>
  <c r="G155" i="8" s="1"/>
  <c r="S155" i="8"/>
  <c r="E334" i="10"/>
  <c r="G334" i="10" s="1"/>
  <c r="I334" i="10" s="1"/>
  <c r="M191" i="10"/>
  <c r="K192" i="10"/>
  <c r="C334" i="10"/>
  <c r="B335" i="10"/>
  <c r="H155" i="8" l="1"/>
  <c r="T156" i="8"/>
  <c r="C156" i="8" s="1"/>
  <c r="R156" i="8"/>
  <c r="E335" i="10"/>
  <c r="G335" i="10" s="1"/>
  <c r="I335" i="10" s="1"/>
  <c r="M192" i="10"/>
  <c r="K193" i="10"/>
  <c r="C335" i="10"/>
  <c r="B336" i="10"/>
  <c r="F156" i="8" l="1"/>
  <c r="G156" i="8" s="1"/>
  <c r="S156" i="8"/>
  <c r="E336" i="10"/>
  <c r="G336" i="10" s="1"/>
  <c r="I336" i="10" s="1"/>
  <c r="M193" i="10"/>
  <c r="K194" i="10"/>
  <c r="C336" i="10"/>
  <c r="B337" i="10"/>
  <c r="R157" i="8" l="1"/>
  <c r="T157" i="8"/>
  <c r="C157" i="8" s="1"/>
  <c r="H156" i="8"/>
  <c r="E337" i="10"/>
  <c r="G337" i="10" s="1"/>
  <c r="I337" i="10" s="1"/>
  <c r="M194" i="10"/>
  <c r="K195" i="10"/>
  <c r="C337" i="10"/>
  <c r="B338" i="10"/>
  <c r="F157" i="8" l="1"/>
  <c r="G157" i="8" s="1"/>
  <c r="S157" i="8"/>
  <c r="E338" i="10"/>
  <c r="G338" i="10" s="1"/>
  <c r="I338" i="10" s="1"/>
  <c r="M195" i="10"/>
  <c r="K196" i="10"/>
  <c r="C338" i="10"/>
  <c r="B339" i="10"/>
  <c r="T158" i="8" l="1"/>
  <c r="C158" i="8" s="1"/>
  <c r="H157" i="8"/>
  <c r="R158" i="8"/>
  <c r="F158" i="8" s="1"/>
  <c r="G158" i="8" s="1"/>
  <c r="E339" i="10"/>
  <c r="G339" i="10" s="1"/>
  <c r="I339" i="10" s="1"/>
  <c r="M196" i="10"/>
  <c r="K197" i="10"/>
  <c r="C339" i="10"/>
  <c r="B340" i="10"/>
  <c r="S158" i="8" l="1"/>
  <c r="T159" i="8"/>
  <c r="C159" i="8" s="1"/>
  <c r="R159" i="8"/>
  <c r="H158" i="8"/>
  <c r="E340" i="10"/>
  <c r="G340" i="10" s="1"/>
  <c r="I340" i="10" s="1"/>
  <c r="M197" i="10"/>
  <c r="K198" i="10"/>
  <c r="C340" i="10"/>
  <c r="B341" i="10"/>
  <c r="F159" i="8" l="1"/>
  <c r="G159" i="8" s="1"/>
  <c r="S159" i="8"/>
  <c r="E341" i="10"/>
  <c r="G341" i="10" s="1"/>
  <c r="I341" i="10" s="1"/>
  <c r="M198" i="10"/>
  <c r="K199" i="10"/>
  <c r="C341" i="10"/>
  <c r="B342" i="10"/>
  <c r="T160" i="8" l="1"/>
  <c r="C160" i="8" s="1"/>
  <c r="H159" i="8"/>
  <c r="R160" i="8"/>
  <c r="E342" i="10"/>
  <c r="G342" i="10" s="1"/>
  <c r="I342" i="10" s="1"/>
  <c r="M199" i="10"/>
  <c r="K200" i="10"/>
  <c r="C342" i="10"/>
  <c r="B343" i="10"/>
  <c r="F160" i="8" l="1"/>
  <c r="G160" i="8" s="1"/>
  <c r="S160" i="8"/>
  <c r="E343" i="10"/>
  <c r="G343" i="10" s="1"/>
  <c r="I343" i="10" s="1"/>
  <c r="M200" i="10"/>
  <c r="K201" i="10"/>
  <c r="C343" i="10"/>
  <c r="B344" i="10"/>
  <c r="R161" i="8" l="1"/>
  <c r="F161" i="8" s="1"/>
  <c r="G161" i="8" s="1"/>
  <c r="T161" i="8"/>
  <c r="C161" i="8" s="1"/>
  <c r="H160" i="8"/>
  <c r="E344" i="10"/>
  <c r="G344" i="10" s="1"/>
  <c r="I344" i="10" s="1"/>
  <c r="M201" i="10"/>
  <c r="K202" i="10"/>
  <c r="C344" i="10"/>
  <c r="B345" i="10"/>
  <c r="S161" i="8" l="1"/>
  <c r="R162" i="8" s="1"/>
  <c r="H161" i="8"/>
  <c r="E345" i="10"/>
  <c r="G345" i="10" s="1"/>
  <c r="I345" i="10" s="1"/>
  <c r="M202" i="10"/>
  <c r="K203" i="10"/>
  <c r="C345" i="10"/>
  <c r="B346" i="10"/>
  <c r="T162" i="8" l="1"/>
  <c r="C162" i="8" s="1"/>
  <c r="S162" i="8"/>
  <c r="F162" i="8"/>
  <c r="G162" i="8" s="1"/>
  <c r="E346" i="10"/>
  <c r="G346" i="10" s="1"/>
  <c r="I346" i="10" s="1"/>
  <c r="M203" i="10"/>
  <c r="K204" i="10"/>
  <c r="C346" i="10"/>
  <c r="B347" i="10"/>
  <c r="R163" i="8" l="1"/>
  <c r="H162" i="8"/>
  <c r="T163" i="8"/>
  <c r="C163" i="8" s="1"/>
  <c r="E347" i="10"/>
  <c r="G347" i="10" s="1"/>
  <c r="I347" i="10" s="1"/>
  <c r="M204" i="10"/>
  <c r="K205" i="10"/>
  <c r="C347" i="10"/>
  <c r="B348" i="10"/>
  <c r="F163" i="8" l="1"/>
  <c r="G163" i="8" s="1"/>
  <c r="S163" i="8"/>
  <c r="E348" i="10"/>
  <c r="G348" i="10" s="1"/>
  <c r="I348" i="10" s="1"/>
  <c r="M205" i="10"/>
  <c r="K206" i="10"/>
  <c r="C348" i="10"/>
  <c r="B349" i="10"/>
  <c r="T164" i="8" l="1"/>
  <c r="C164" i="8" s="1"/>
  <c r="R164" i="8"/>
  <c r="F164" i="8" s="1"/>
  <c r="G164" i="8" s="1"/>
  <c r="H163" i="8"/>
  <c r="E349" i="10"/>
  <c r="G349" i="10" s="1"/>
  <c r="I349" i="10" s="1"/>
  <c r="M206" i="10"/>
  <c r="K207" i="10"/>
  <c r="C349" i="10"/>
  <c r="B350" i="10"/>
  <c r="S164" i="8" l="1"/>
  <c r="R165" i="8" s="1"/>
  <c r="E350" i="10"/>
  <c r="G350" i="10" s="1"/>
  <c r="I350" i="10" s="1"/>
  <c r="M207" i="10"/>
  <c r="K208" i="10"/>
  <c r="C350" i="10"/>
  <c r="B351" i="10"/>
  <c r="T165" i="8" l="1"/>
  <c r="C165" i="8" s="1"/>
  <c r="H164" i="8"/>
  <c r="F165" i="8"/>
  <c r="G165" i="8" s="1"/>
  <c r="S165" i="8"/>
  <c r="E351" i="10"/>
  <c r="G351" i="10" s="1"/>
  <c r="I351" i="10" s="1"/>
  <c r="M208" i="10"/>
  <c r="K209" i="10"/>
  <c r="C351" i="10"/>
  <c r="B352" i="10"/>
  <c r="T166" i="8" l="1"/>
  <c r="C166" i="8" s="1"/>
  <c r="H165" i="8"/>
  <c r="R166" i="8"/>
  <c r="F166" i="8" s="1"/>
  <c r="G166" i="8" s="1"/>
  <c r="S166" i="8"/>
  <c r="E352" i="10"/>
  <c r="G352" i="10" s="1"/>
  <c r="I352" i="10" s="1"/>
  <c r="M209" i="10"/>
  <c r="K210" i="10"/>
  <c r="C352" i="10"/>
  <c r="B353" i="10"/>
  <c r="R167" i="8" l="1"/>
  <c r="H166" i="8"/>
  <c r="T167" i="8"/>
  <c r="C167" i="8" s="1"/>
  <c r="E353" i="10"/>
  <c r="G353" i="10" s="1"/>
  <c r="I353" i="10" s="1"/>
  <c r="M210" i="10"/>
  <c r="K211" i="10"/>
  <c r="C353" i="10"/>
  <c r="B354" i="10"/>
  <c r="F167" i="8" l="1"/>
  <c r="G167" i="8" s="1"/>
  <c r="S167" i="8"/>
  <c r="E354" i="10"/>
  <c r="G354" i="10" s="1"/>
  <c r="I354" i="10" s="1"/>
  <c r="M211" i="10"/>
  <c r="K212" i="10"/>
  <c r="C354" i="10"/>
  <c r="B355" i="10"/>
  <c r="H167" i="8" l="1"/>
  <c r="R168" i="8"/>
  <c r="T168" i="8"/>
  <c r="C168" i="8" s="1"/>
  <c r="E355" i="10"/>
  <c r="G355" i="10" s="1"/>
  <c r="I355" i="10" s="1"/>
  <c r="M212" i="10"/>
  <c r="K213" i="10"/>
  <c r="C355" i="10"/>
  <c r="B356" i="10"/>
  <c r="F168" i="8" l="1"/>
  <c r="G168" i="8" s="1"/>
  <c r="S168" i="8"/>
  <c r="E356" i="10"/>
  <c r="G356" i="10" s="1"/>
  <c r="I356" i="10" s="1"/>
  <c r="M213" i="10"/>
  <c r="K214" i="10"/>
  <c r="C356" i="10"/>
  <c r="B357" i="10"/>
  <c r="H168" i="8" l="1"/>
  <c r="T169" i="8"/>
  <c r="C169" i="8" s="1"/>
  <c r="T45" i="8"/>
  <c r="R169" i="8"/>
  <c r="AB45" i="8"/>
  <c r="X45" i="8"/>
  <c r="E357" i="10"/>
  <c r="G357" i="10" s="1"/>
  <c r="I357" i="10" s="1"/>
  <c r="M214" i="10"/>
  <c r="K215" i="10"/>
  <c r="C357" i="10"/>
  <c r="B358" i="10"/>
  <c r="F169" i="8" l="1"/>
  <c r="G169" i="8" s="1"/>
  <c r="S169" i="8"/>
  <c r="E358" i="10"/>
  <c r="G358" i="10" s="1"/>
  <c r="I358" i="10" s="1"/>
  <c r="M215" i="10"/>
  <c r="K216" i="10"/>
  <c r="C358" i="10"/>
  <c r="B359" i="10"/>
  <c r="R170" i="8" l="1"/>
  <c r="F170" i="8" s="1"/>
  <c r="G170" i="8" s="1"/>
  <c r="H169" i="8"/>
  <c r="T170" i="8"/>
  <c r="C170" i="8" s="1"/>
  <c r="E359" i="10"/>
  <c r="G359" i="10" s="1"/>
  <c r="I359" i="10" s="1"/>
  <c r="M216" i="10"/>
  <c r="K217" i="10"/>
  <c r="C359" i="10"/>
  <c r="B360" i="10"/>
  <c r="S170" i="8" l="1"/>
  <c r="H170" i="8" s="1"/>
  <c r="E360" i="10"/>
  <c r="G360" i="10" s="1"/>
  <c r="I360" i="10" s="1"/>
  <c r="M217" i="10"/>
  <c r="K218" i="10"/>
  <c r="C360" i="10"/>
  <c r="B361" i="10"/>
  <c r="R171" i="8" l="1"/>
  <c r="T171" i="8"/>
  <c r="C171" i="8" s="1"/>
  <c r="F171" i="8"/>
  <c r="G171" i="8" s="1"/>
  <c r="S171" i="8"/>
  <c r="E361" i="10"/>
  <c r="G361" i="10" s="1"/>
  <c r="I361" i="10" s="1"/>
  <c r="M218" i="10"/>
  <c r="K219" i="10"/>
  <c r="C361" i="10"/>
  <c r="B362" i="10"/>
  <c r="H171" i="8" l="1"/>
  <c r="R172" i="8"/>
  <c r="T172" i="8"/>
  <c r="C172" i="8" s="1"/>
  <c r="E362" i="10"/>
  <c r="G362" i="10" s="1"/>
  <c r="I362" i="10" s="1"/>
  <c r="M219" i="10"/>
  <c r="K220" i="10"/>
  <c r="C362" i="10"/>
  <c r="B363" i="10"/>
  <c r="F172" i="8" l="1"/>
  <c r="G172" i="8" s="1"/>
  <c r="S172" i="8"/>
  <c r="E363" i="10"/>
  <c r="G363" i="10" s="1"/>
  <c r="I363" i="10" s="1"/>
  <c r="M220" i="10"/>
  <c r="K221" i="10"/>
  <c r="C363" i="10"/>
  <c r="B364" i="10"/>
  <c r="T173" i="8" l="1"/>
  <c r="C173" i="8" s="1"/>
  <c r="H172" i="8"/>
  <c r="R173" i="8"/>
  <c r="F173" i="8" s="1"/>
  <c r="G173" i="8" s="1"/>
  <c r="S173" i="8"/>
  <c r="E364" i="10"/>
  <c r="G364" i="10" s="1"/>
  <c r="I364" i="10" s="1"/>
  <c r="M221" i="10"/>
  <c r="K222" i="10"/>
  <c r="C364" i="10"/>
  <c r="B365" i="10"/>
  <c r="R174" i="8" l="1"/>
  <c r="H173" i="8"/>
  <c r="T174" i="8"/>
  <c r="C174" i="8" s="1"/>
  <c r="E365" i="10"/>
  <c r="G365" i="10" s="1"/>
  <c r="I365" i="10" s="1"/>
  <c r="M222" i="10"/>
  <c r="K223" i="10"/>
  <c r="C365" i="10"/>
  <c r="B366" i="10"/>
  <c r="F174" i="8" l="1"/>
  <c r="G174" i="8" s="1"/>
  <c r="S174" i="8"/>
  <c r="E366" i="10"/>
  <c r="G366" i="10" s="1"/>
  <c r="I366" i="10" s="1"/>
  <c r="M223" i="10"/>
  <c r="K224" i="10"/>
  <c r="C366" i="10"/>
  <c r="B367" i="10"/>
  <c r="T175" i="8" l="1"/>
  <c r="C175" i="8" s="1"/>
  <c r="H174" i="8"/>
  <c r="R175" i="8"/>
  <c r="F175" i="8" s="1"/>
  <c r="G175" i="8" s="1"/>
  <c r="E367" i="10"/>
  <c r="G367" i="10" s="1"/>
  <c r="I367" i="10" s="1"/>
  <c r="M224" i="10"/>
  <c r="K225" i="10"/>
  <c r="C367" i="10"/>
  <c r="B368" i="10"/>
  <c r="S175" i="8" l="1"/>
  <c r="R176" i="8" s="1"/>
  <c r="F176" i="8" s="1"/>
  <c r="G176" i="8" s="1"/>
  <c r="E368" i="10"/>
  <c r="G368" i="10" s="1"/>
  <c r="I368" i="10" s="1"/>
  <c r="M225" i="10"/>
  <c r="K226" i="10"/>
  <c r="C368" i="10"/>
  <c r="B369" i="10"/>
  <c r="T176" i="8" l="1"/>
  <c r="C176" i="8" s="1"/>
  <c r="H175" i="8"/>
  <c r="S176" i="8"/>
  <c r="H176" i="8" s="1"/>
  <c r="E369" i="10"/>
  <c r="G369" i="10" s="1"/>
  <c r="I369" i="10" s="1"/>
  <c r="M226" i="10"/>
  <c r="K227" i="10"/>
  <c r="C369" i="10"/>
  <c r="B370" i="10"/>
  <c r="T177" i="8" l="1"/>
  <c r="C177" i="8" s="1"/>
  <c r="R177" i="8"/>
  <c r="F177" i="8" s="1"/>
  <c r="G177" i="8" s="1"/>
  <c r="E370" i="10"/>
  <c r="G370" i="10" s="1"/>
  <c r="I370" i="10" s="1"/>
  <c r="M227" i="10"/>
  <c r="K228" i="10"/>
  <c r="C370" i="10"/>
  <c r="B371" i="10"/>
  <c r="S177" i="8" l="1"/>
  <c r="R178" i="8"/>
  <c r="T178" i="8"/>
  <c r="C178" i="8" s="1"/>
  <c r="H177" i="8"/>
  <c r="E371" i="10"/>
  <c r="G371" i="10" s="1"/>
  <c r="I371" i="10" s="1"/>
  <c r="M228" i="10"/>
  <c r="K229" i="10"/>
  <c r="C371" i="10"/>
  <c r="B372" i="10"/>
  <c r="F178" i="8" l="1"/>
  <c r="G178" i="8" s="1"/>
  <c r="S178" i="8"/>
  <c r="E372" i="10"/>
  <c r="G372" i="10" s="1"/>
  <c r="I372" i="10" s="1"/>
  <c r="M229" i="10"/>
  <c r="K230" i="10"/>
  <c r="C372" i="10"/>
  <c r="B373" i="10"/>
  <c r="T179" i="8" l="1"/>
  <c r="C179" i="8" s="1"/>
  <c r="H178" i="8"/>
  <c r="R179" i="8"/>
  <c r="E373" i="10"/>
  <c r="G373" i="10" s="1"/>
  <c r="I373" i="10" s="1"/>
  <c r="M230" i="10"/>
  <c r="K231" i="10"/>
  <c r="C373" i="10"/>
  <c r="B374" i="10"/>
  <c r="F179" i="8" l="1"/>
  <c r="G179" i="8" s="1"/>
  <c r="S179" i="8"/>
  <c r="E374" i="10"/>
  <c r="G374" i="10" s="1"/>
  <c r="I374" i="10" s="1"/>
  <c r="M231" i="10"/>
  <c r="K232" i="10"/>
  <c r="C374" i="10"/>
  <c r="B375" i="10"/>
  <c r="T180" i="8" l="1"/>
  <c r="C180" i="8" s="1"/>
  <c r="H179" i="8"/>
  <c r="R180" i="8"/>
  <c r="E375" i="10"/>
  <c r="G375" i="10" s="1"/>
  <c r="I375" i="10" s="1"/>
  <c r="M232" i="10"/>
  <c r="K233" i="10"/>
  <c r="C375" i="10"/>
  <c r="B376" i="10"/>
  <c r="F180" i="8" l="1"/>
  <c r="G180" i="8" s="1"/>
  <c r="S180" i="8"/>
  <c r="E376" i="10"/>
  <c r="G376" i="10" s="1"/>
  <c r="I376" i="10" s="1"/>
  <c r="M233" i="10"/>
  <c r="K234" i="10"/>
  <c r="C376" i="10"/>
  <c r="B377" i="10"/>
  <c r="T181" i="8" l="1"/>
  <c r="C181" i="8" s="1"/>
  <c r="H180" i="8"/>
  <c r="R181" i="8"/>
  <c r="E377" i="10"/>
  <c r="G377" i="10" s="1"/>
  <c r="I377" i="10" s="1"/>
  <c r="M234" i="10"/>
  <c r="K235" i="10"/>
  <c r="C377" i="10"/>
  <c r="B378" i="10"/>
  <c r="F181" i="8" l="1"/>
  <c r="G181" i="8" s="1"/>
  <c r="S181" i="8"/>
  <c r="E378" i="10"/>
  <c r="G378" i="10" s="1"/>
  <c r="I378" i="10" s="1"/>
  <c r="M235" i="10"/>
  <c r="K236" i="10"/>
  <c r="C378" i="10"/>
  <c r="B379" i="10"/>
  <c r="R182" i="8" l="1"/>
  <c r="F182" i="8" s="1"/>
  <c r="G182" i="8" s="1"/>
  <c r="H181" i="8"/>
  <c r="T182" i="8"/>
  <c r="C182" i="8" s="1"/>
  <c r="E379" i="10"/>
  <c r="G379" i="10" s="1"/>
  <c r="I379" i="10" s="1"/>
  <c r="M236" i="10"/>
  <c r="K237" i="10"/>
  <c r="C379" i="10"/>
  <c r="B380" i="10"/>
  <c r="S182" i="8" l="1"/>
  <c r="H182" i="8" s="1"/>
  <c r="E380" i="10"/>
  <c r="G380" i="10" s="1"/>
  <c r="I380" i="10" s="1"/>
  <c r="M237" i="10"/>
  <c r="K238" i="10"/>
  <c r="C380" i="10"/>
  <c r="B381" i="10"/>
  <c r="R183" i="8" l="1"/>
  <c r="F183" i="8" s="1"/>
  <c r="G183" i="8" s="1"/>
  <c r="T183" i="8"/>
  <c r="C183" i="8" s="1"/>
  <c r="S183" i="8"/>
  <c r="T184" i="8"/>
  <c r="C184" i="8" s="1"/>
  <c r="H183" i="8"/>
  <c r="R184" i="8"/>
  <c r="F184" i="8" s="1"/>
  <c r="G184" i="8" s="1"/>
  <c r="E381" i="10"/>
  <c r="G381" i="10" s="1"/>
  <c r="I381" i="10" s="1"/>
  <c r="M238" i="10"/>
  <c r="K239" i="10"/>
  <c r="C381" i="10"/>
  <c r="B382" i="10"/>
  <c r="S184" i="8" l="1"/>
  <c r="T185" i="8" s="1"/>
  <c r="C185" i="8" s="1"/>
  <c r="E382" i="10"/>
  <c r="G382" i="10" s="1"/>
  <c r="I382" i="10" s="1"/>
  <c r="M239" i="10"/>
  <c r="K240" i="10"/>
  <c r="C382" i="10"/>
  <c r="B383" i="10"/>
  <c r="R185" i="8" l="1"/>
  <c r="F185" i="8" s="1"/>
  <c r="G185" i="8" s="1"/>
  <c r="H184" i="8"/>
  <c r="E383" i="10"/>
  <c r="G383" i="10" s="1"/>
  <c r="I383" i="10" s="1"/>
  <c r="M240" i="10"/>
  <c r="K241" i="10"/>
  <c r="C383" i="10"/>
  <c r="B384" i="10"/>
  <c r="S185" i="8" l="1"/>
  <c r="T186" i="8"/>
  <c r="C186" i="8" s="1"/>
  <c r="R186" i="8"/>
  <c r="H185" i="8"/>
  <c r="E384" i="10"/>
  <c r="G384" i="10" s="1"/>
  <c r="I384" i="10" s="1"/>
  <c r="M241" i="10"/>
  <c r="K242" i="10"/>
  <c r="C384" i="10"/>
  <c r="B385" i="10"/>
  <c r="F186" i="8" l="1"/>
  <c r="G186" i="8" s="1"/>
  <c r="S186" i="8"/>
  <c r="E385" i="10"/>
  <c r="G385" i="10" s="1"/>
  <c r="I385" i="10" s="1"/>
  <c r="M242" i="10"/>
  <c r="K243" i="10"/>
  <c r="C385" i="10"/>
  <c r="B386" i="10"/>
  <c r="R187" i="8" l="1"/>
  <c r="F187" i="8" s="1"/>
  <c r="G187" i="8" s="1"/>
  <c r="T187" i="8"/>
  <c r="C187" i="8" s="1"/>
  <c r="H186" i="8"/>
  <c r="C386" i="10"/>
  <c r="E386" i="10"/>
  <c r="G386" i="10" s="1"/>
  <c r="I386" i="10" s="1"/>
  <c r="M243" i="10"/>
  <c r="K244" i="10"/>
  <c r="S187" i="8" l="1"/>
  <c r="H187" i="8" s="1"/>
  <c r="M244" i="10"/>
  <c r="K245" i="10"/>
  <c r="R188" i="8" l="1"/>
  <c r="F188" i="8" s="1"/>
  <c r="G188" i="8" s="1"/>
  <c r="T188" i="8"/>
  <c r="C188" i="8" s="1"/>
  <c r="M245" i="10"/>
  <c r="K246" i="10"/>
  <c r="S188" i="8" l="1"/>
  <c r="H188" i="8" s="1"/>
  <c r="M246" i="10"/>
  <c r="K247" i="10"/>
  <c r="R189" i="8" l="1"/>
  <c r="F189" i="8" s="1"/>
  <c r="G189" i="8" s="1"/>
  <c r="T189" i="8"/>
  <c r="C189" i="8" s="1"/>
  <c r="M247" i="10"/>
  <c r="K248" i="10"/>
  <c r="S189" i="8" l="1"/>
  <c r="H189" i="8"/>
  <c r="T190" i="8"/>
  <c r="C190" i="8" s="1"/>
  <c r="R190" i="8"/>
  <c r="M248" i="10"/>
  <c r="K249" i="10"/>
  <c r="F190" i="8" l="1"/>
  <c r="G190" i="8" s="1"/>
  <c r="S190" i="8"/>
  <c r="M249" i="10"/>
  <c r="K250" i="10"/>
  <c r="H190" i="8" l="1"/>
  <c r="T191" i="8"/>
  <c r="C191" i="8" s="1"/>
  <c r="R191" i="8"/>
  <c r="M250" i="10"/>
  <c r="K251" i="10"/>
  <c r="F191" i="8" l="1"/>
  <c r="G191" i="8" s="1"/>
  <c r="S191" i="8"/>
  <c r="M251" i="10"/>
  <c r="K252" i="10"/>
  <c r="R192" i="8" l="1"/>
  <c r="F192" i="8" s="1"/>
  <c r="G192" i="8" s="1"/>
  <c r="T192" i="8"/>
  <c r="C192" i="8" s="1"/>
  <c r="H191" i="8"/>
  <c r="M252" i="10"/>
  <c r="K253" i="10"/>
  <c r="S192" i="8" l="1"/>
  <c r="R193" i="8"/>
  <c r="T193" i="8"/>
  <c r="C193" i="8" s="1"/>
  <c r="H192" i="8"/>
  <c r="M253" i="10"/>
  <c r="K254" i="10"/>
  <c r="F193" i="8" l="1"/>
  <c r="G193" i="8" s="1"/>
  <c r="S193" i="8"/>
  <c r="M254" i="10"/>
  <c r="K255" i="10"/>
  <c r="H193" i="8" l="1"/>
  <c r="T194" i="8"/>
  <c r="C194" i="8" s="1"/>
  <c r="R194" i="8"/>
  <c r="M255" i="10"/>
  <c r="K256" i="10"/>
  <c r="F194" i="8" l="1"/>
  <c r="G194" i="8" s="1"/>
  <c r="S194" i="8"/>
  <c r="M256" i="10"/>
  <c r="K257" i="10"/>
  <c r="H194" i="8" l="1"/>
  <c r="R195" i="8"/>
  <c r="T195" i="8"/>
  <c r="C195" i="8" s="1"/>
  <c r="M257" i="10"/>
  <c r="K258" i="10"/>
  <c r="F195" i="8" l="1"/>
  <c r="G195" i="8" s="1"/>
  <c r="S195" i="8"/>
  <c r="M258" i="10"/>
  <c r="K259" i="10"/>
  <c r="R196" i="8" l="1"/>
  <c r="H195" i="8"/>
  <c r="T196" i="8"/>
  <c r="C196" i="8" s="1"/>
  <c r="M259" i="10"/>
  <c r="K260" i="10"/>
  <c r="F196" i="8" l="1"/>
  <c r="G196" i="8" s="1"/>
  <c r="S196" i="8"/>
  <c r="M260" i="10"/>
  <c r="K261" i="10"/>
  <c r="T197" i="8" l="1"/>
  <c r="C197" i="8" s="1"/>
  <c r="H196" i="8"/>
  <c r="R197" i="8"/>
  <c r="M261" i="10"/>
  <c r="K262" i="10"/>
  <c r="F197" i="8" l="1"/>
  <c r="G197" i="8" s="1"/>
  <c r="S197" i="8"/>
  <c r="M262" i="10"/>
  <c r="K263" i="10"/>
  <c r="T198" i="8" l="1"/>
  <c r="C198" i="8" s="1"/>
  <c r="H197" i="8"/>
  <c r="R198" i="8"/>
  <c r="M263" i="10"/>
  <c r="K264" i="10"/>
  <c r="F198" i="8" l="1"/>
  <c r="G198" i="8" s="1"/>
  <c r="S198" i="8"/>
  <c r="M264" i="10"/>
  <c r="K265" i="10"/>
  <c r="T199" i="8" l="1"/>
  <c r="C199" i="8" s="1"/>
  <c r="H198" i="8"/>
  <c r="R199" i="8"/>
  <c r="M265" i="10"/>
  <c r="K266" i="10"/>
  <c r="N18" i="10" s="1"/>
  <c r="N19" i="10" s="1"/>
  <c r="F199" i="8" l="1"/>
  <c r="G199" i="8" s="1"/>
  <c r="S199" i="8"/>
  <c r="M266" i="10"/>
  <c r="K267" i="10"/>
  <c r="H199" i="8" l="1"/>
  <c r="R200" i="8"/>
  <c r="F200" i="8" s="1"/>
  <c r="G200" i="8" s="1"/>
  <c r="T200" i="8"/>
  <c r="C200" i="8" s="1"/>
  <c r="M267" i="10"/>
  <c r="K268" i="10"/>
  <c r="S200" i="8" l="1"/>
  <c r="H200" i="8" s="1"/>
  <c r="M268" i="10"/>
  <c r="K269" i="10"/>
  <c r="R201" i="8" l="1"/>
  <c r="S201" i="8" s="1"/>
  <c r="T201" i="8"/>
  <c r="C201" i="8" s="1"/>
  <c r="M269" i="10"/>
  <c r="K270" i="10"/>
  <c r="F201" i="8" l="1"/>
  <c r="G201" i="8" s="1"/>
  <c r="R202" i="8"/>
  <c r="H201" i="8"/>
  <c r="T202" i="8"/>
  <c r="C202" i="8" s="1"/>
  <c r="M270" i="10"/>
  <c r="K271" i="10"/>
  <c r="F202" i="8" l="1"/>
  <c r="G202" i="8" s="1"/>
  <c r="S202" i="8"/>
  <c r="M271" i="10"/>
  <c r="K272" i="10"/>
  <c r="T203" i="8" l="1"/>
  <c r="C203" i="8" s="1"/>
  <c r="R203" i="8"/>
  <c r="F203" i="8" s="1"/>
  <c r="G203" i="8" s="1"/>
  <c r="H202" i="8"/>
  <c r="M272" i="10"/>
  <c r="K273" i="10"/>
  <c r="S203" i="8" l="1"/>
  <c r="H203" i="8" s="1"/>
  <c r="M273" i="10"/>
  <c r="K274" i="10"/>
  <c r="R204" i="8" l="1"/>
  <c r="T204" i="8"/>
  <c r="C204" i="8" s="1"/>
  <c r="F204" i="8"/>
  <c r="G204" i="8" s="1"/>
  <c r="S204" i="8"/>
  <c r="M274" i="10"/>
  <c r="K275" i="10"/>
  <c r="H204" i="8" l="1"/>
  <c r="T205" i="8"/>
  <c r="C205" i="8" s="1"/>
  <c r="R205" i="8"/>
  <c r="M275" i="10"/>
  <c r="K276" i="10"/>
  <c r="F205" i="8" l="1"/>
  <c r="G205" i="8" s="1"/>
  <c r="S205" i="8"/>
  <c r="M276" i="10"/>
  <c r="K277" i="10"/>
  <c r="H205" i="8" l="1"/>
  <c r="T206" i="8"/>
  <c r="C206" i="8" s="1"/>
  <c r="R206" i="8"/>
  <c r="F206" i="8" s="1"/>
  <c r="G206" i="8" s="1"/>
  <c r="M277" i="10"/>
  <c r="K278" i="10"/>
  <c r="S206" i="8" l="1"/>
  <c r="H206" i="8" s="1"/>
  <c r="M278" i="10"/>
  <c r="K279" i="10"/>
  <c r="R207" i="8" l="1"/>
  <c r="T207" i="8"/>
  <c r="C207" i="8" s="1"/>
  <c r="M279" i="10"/>
  <c r="K280" i="10"/>
  <c r="F207" i="8" l="1"/>
  <c r="G207" i="8" s="1"/>
  <c r="S207" i="8"/>
  <c r="M280" i="10"/>
  <c r="K281" i="10"/>
  <c r="T208" i="8" l="1"/>
  <c r="C208" i="8" s="1"/>
  <c r="H207" i="8"/>
  <c r="R208" i="8"/>
  <c r="F208" i="8" s="1"/>
  <c r="G208" i="8" s="1"/>
  <c r="M281" i="10"/>
  <c r="K282" i="10"/>
  <c r="S208" i="8" l="1"/>
  <c r="M282" i="10"/>
  <c r="K283" i="10"/>
  <c r="T209" i="8" l="1"/>
  <c r="C209" i="8" s="1"/>
  <c r="H208" i="8"/>
  <c r="R209" i="8"/>
  <c r="F209" i="8" s="1"/>
  <c r="G209" i="8" s="1"/>
  <c r="M283" i="10"/>
  <c r="K284" i="10"/>
  <c r="S209" i="8" l="1"/>
  <c r="M284" i="10"/>
  <c r="K285" i="10"/>
  <c r="H209" i="8" l="1"/>
  <c r="T210" i="8"/>
  <c r="C210" i="8" s="1"/>
  <c r="R210" i="8"/>
  <c r="F210" i="8" s="1"/>
  <c r="G210" i="8" s="1"/>
  <c r="M285" i="10"/>
  <c r="K286" i="10"/>
  <c r="S210" i="8" l="1"/>
  <c r="M286" i="10"/>
  <c r="K287" i="10"/>
  <c r="R211" i="8" l="1"/>
  <c r="F211" i="8" s="1"/>
  <c r="G211" i="8" s="1"/>
  <c r="T211" i="8"/>
  <c r="C211" i="8" s="1"/>
  <c r="H210" i="8"/>
  <c r="M287" i="10"/>
  <c r="K288" i="10"/>
  <c r="S211" i="8" l="1"/>
  <c r="T212" i="8" s="1"/>
  <c r="C212" i="8" s="1"/>
  <c r="M288" i="10"/>
  <c r="K289" i="10"/>
  <c r="S212" i="8" l="1"/>
  <c r="R213" i="8" s="1"/>
  <c r="F213" i="8" s="1"/>
  <c r="G213" i="8" s="1"/>
  <c r="R212" i="8"/>
  <c r="F212" i="8" s="1"/>
  <c r="G212" i="8" s="1"/>
  <c r="H211" i="8"/>
  <c r="M289" i="10"/>
  <c r="K290" i="10"/>
  <c r="T213" i="8" l="1"/>
  <c r="C213" i="8" s="1"/>
  <c r="H212" i="8"/>
  <c r="S213" i="8"/>
  <c r="H213" i="8"/>
  <c r="T214" i="8"/>
  <c r="C214" i="8" s="1"/>
  <c r="R214" i="8"/>
  <c r="F214" i="8" s="1"/>
  <c r="G214" i="8" s="1"/>
  <c r="M290" i="10"/>
  <c r="K291" i="10"/>
  <c r="S214" i="8" l="1"/>
  <c r="M291" i="10"/>
  <c r="K292" i="10"/>
  <c r="R215" i="8" l="1"/>
  <c r="F215" i="8" s="1"/>
  <c r="G215" i="8" s="1"/>
  <c r="H214" i="8"/>
  <c r="T215" i="8"/>
  <c r="C215" i="8" s="1"/>
  <c r="M292" i="10"/>
  <c r="K293" i="10"/>
  <c r="S215" i="8" l="1"/>
  <c r="M293" i="10"/>
  <c r="K294" i="10"/>
  <c r="T216" i="8" l="1"/>
  <c r="C216" i="8" s="1"/>
  <c r="R216" i="8"/>
  <c r="F216" i="8" s="1"/>
  <c r="G216" i="8" s="1"/>
  <c r="H215" i="8"/>
  <c r="M294" i="10"/>
  <c r="K295" i="10"/>
  <c r="S216" i="8" l="1"/>
  <c r="M295" i="10"/>
  <c r="K296" i="10"/>
  <c r="R217" i="8" l="1"/>
  <c r="F217" i="8" s="1"/>
  <c r="G217" i="8" s="1"/>
  <c r="T217" i="8"/>
  <c r="C217" i="8" s="1"/>
  <c r="H216" i="8"/>
  <c r="S217" i="8"/>
  <c r="M296" i="10"/>
  <c r="K297" i="10"/>
  <c r="T218" i="8" l="1"/>
  <c r="C218" i="8" s="1"/>
  <c r="H217" i="8"/>
  <c r="R218" i="8"/>
  <c r="F218" i="8" s="1"/>
  <c r="G218" i="8" s="1"/>
  <c r="M297" i="10"/>
  <c r="K298" i="10"/>
  <c r="S218" i="8" l="1"/>
  <c r="M298" i="10"/>
  <c r="K299" i="10"/>
  <c r="R219" i="8" l="1"/>
  <c r="F219" i="8" s="1"/>
  <c r="G219" i="8" s="1"/>
  <c r="T219" i="8"/>
  <c r="C219" i="8" s="1"/>
  <c r="H218" i="8"/>
  <c r="M299" i="10"/>
  <c r="K300" i="10"/>
  <c r="S219" i="8" l="1"/>
  <c r="R220" i="8" s="1"/>
  <c r="F220" i="8" s="1"/>
  <c r="G220" i="8" s="1"/>
  <c r="M300" i="10"/>
  <c r="K301" i="10"/>
  <c r="T220" i="8" l="1"/>
  <c r="C220" i="8" s="1"/>
  <c r="H219" i="8"/>
  <c r="S220" i="8"/>
  <c r="H220" i="8" s="1"/>
  <c r="M301" i="10"/>
  <c r="K302" i="10"/>
  <c r="R221" i="8" l="1"/>
  <c r="F221" i="8" s="1"/>
  <c r="G221" i="8" s="1"/>
  <c r="T221" i="8"/>
  <c r="C221" i="8" s="1"/>
  <c r="M302" i="10"/>
  <c r="K303" i="10"/>
  <c r="S221" i="8" l="1"/>
  <c r="H221" i="8" s="1"/>
  <c r="R222" i="8"/>
  <c r="F222" i="8" s="1"/>
  <c r="G222" i="8" s="1"/>
  <c r="T222" i="8"/>
  <c r="C222" i="8" s="1"/>
  <c r="M303" i="10"/>
  <c r="K304" i="10"/>
  <c r="S222" i="8" l="1"/>
  <c r="T223" i="8" s="1"/>
  <c r="C223" i="8" s="1"/>
  <c r="M304" i="10"/>
  <c r="K305" i="10"/>
  <c r="R223" i="8" l="1"/>
  <c r="S223" i="8" s="1"/>
  <c r="H222" i="8"/>
  <c r="M305" i="10"/>
  <c r="K306" i="10"/>
  <c r="F223" i="8" l="1"/>
  <c r="G223" i="8" s="1"/>
  <c r="R224" i="8"/>
  <c r="H223" i="8"/>
  <c r="T224" i="8"/>
  <c r="C224" i="8" s="1"/>
  <c r="M306" i="10"/>
  <c r="K307" i="10"/>
  <c r="F224" i="8" l="1"/>
  <c r="G224" i="8" s="1"/>
  <c r="S224" i="8"/>
  <c r="M307" i="10"/>
  <c r="K308" i="10"/>
  <c r="T225" i="8" l="1"/>
  <c r="C225" i="8" s="1"/>
  <c r="R225" i="8"/>
  <c r="H224" i="8"/>
  <c r="M308" i="10"/>
  <c r="K309" i="10"/>
  <c r="S225" i="8" l="1"/>
  <c r="F225" i="8"/>
  <c r="G225" i="8" s="1"/>
  <c r="M309" i="10"/>
  <c r="K310" i="10"/>
  <c r="T226" i="8" l="1"/>
  <c r="C226" i="8" s="1"/>
  <c r="H225" i="8"/>
  <c r="R226" i="8"/>
  <c r="M310" i="10"/>
  <c r="K311" i="10"/>
  <c r="S226" i="8" l="1"/>
  <c r="F226" i="8"/>
  <c r="G226" i="8" s="1"/>
  <c r="M311" i="10"/>
  <c r="K312" i="10"/>
  <c r="T227" i="8" l="1"/>
  <c r="C227" i="8" s="1"/>
  <c r="H226" i="8"/>
  <c r="R227" i="8"/>
  <c r="F227" i="8" s="1"/>
  <c r="G227" i="8" s="1"/>
  <c r="M312" i="10"/>
  <c r="K313" i="10"/>
  <c r="S227" i="8" l="1"/>
  <c r="M313" i="10"/>
  <c r="K314" i="10"/>
  <c r="H227" i="8" l="1"/>
  <c r="R228" i="8"/>
  <c r="F228" i="8" s="1"/>
  <c r="G228" i="8" s="1"/>
  <c r="T228" i="8"/>
  <c r="C228" i="8" s="1"/>
  <c r="M314" i="10"/>
  <c r="K315" i="10"/>
  <c r="S228" i="8" l="1"/>
  <c r="H228" i="8" s="1"/>
  <c r="M315" i="10"/>
  <c r="K316" i="10"/>
  <c r="T229" i="8" l="1"/>
  <c r="C229" i="8" s="1"/>
  <c r="R229" i="8"/>
  <c r="F229" i="8" s="1"/>
  <c r="G229" i="8" s="1"/>
  <c r="M316" i="10"/>
  <c r="K317" i="10"/>
  <c r="S229" i="8" l="1"/>
  <c r="M317" i="10"/>
  <c r="K318" i="10"/>
  <c r="T230" i="8" l="1"/>
  <c r="C230" i="8" s="1"/>
  <c r="H229" i="8"/>
  <c r="R230" i="8"/>
  <c r="M318" i="10"/>
  <c r="K319" i="10"/>
  <c r="F230" i="8" l="1"/>
  <c r="G230" i="8" s="1"/>
  <c r="S230" i="8"/>
  <c r="M319" i="10"/>
  <c r="K320" i="10"/>
  <c r="R231" i="8" l="1"/>
  <c r="H230" i="8"/>
  <c r="T231" i="8"/>
  <c r="C231" i="8" s="1"/>
  <c r="M320" i="10"/>
  <c r="K321" i="10"/>
  <c r="F231" i="8" l="1"/>
  <c r="G231" i="8" s="1"/>
  <c r="S231" i="8"/>
  <c r="M321" i="10"/>
  <c r="K322" i="10"/>
  <c r="R232" i="8" l="1"/>
  <c r="F232" i="8" s="1"/>
  <c r="G232" i="8" s="1"/>
  <c r="T232" i="8"/>
  <c r="C232" i="8" s="1"/>
  <c r="H231" i="8"/>
  <c r="M322" i="10"/>
  <c r="K323" i="10"/>
  <c r="S232" i="8" l="1"/>
  <c r="H232" i="8" s="1"/>
  <c r="M323" i="10"/>
  <c r="K324" i="10"/>
  <c r="R233" i="8" l="1"/>
  <c r="T233" i="8"/>
  <c r="C233" i="8" s="1"/>
  <c r="S233" i="8"/>
  <c r="F233" i="8"/>
  <c r="G233" i="8" s="1"/>
  <c r="M324" i="10"/>
  <c r="K325" i="10"/>
  <c r="T234" i="8" l="1"/>
  <c r="C234" i="8" s="1"/>
  <c r="R234" i="8"/>
  <c r="F234" i="8" s="1"/>
  <c r="G234" i="8" s="1"/>
  <c r="H233" i="8"/>
  <c r="M325" i="10"/>
  <c r="K326" i="10"/>
  <c r="S234" i="8" l="1"/>
  <c r="R235" i="8" s="1"/>
  <c r="F235" i="8" s="1"/>
  <c r="G235" i="8" s="1"/>
  <c r="M326" i="10"/>
  <c r="K327" i="10"/>
  <c r="H234" i="8" l="1"/>
  <c r="S235" i="8"/>
  <c r="T236" i="8" s="1"/>
  <c r="C236" i="8" s="1"/>
  <c r="T235" i="8"/>
  <c r="C235" i="8" s="1"/>
  <c r="K328" i="10"/>
  <c r="M327" i="10"/>
  <c r="H235" i="8" l="1"/>
  <c r="R236" i="8"/>
  <c r="F236" i="8"/>
  <c r="G236" i="8" s="1"/>
  <c r="S236" i="8"/>
  <c r="K329" i="10"/>
  <c r="M328" i="10"/>
  <c r="R237" i="8" l="1"/>
  <c r="F237" i="8" s="1"/>
  <c r="G237" i="8" s="1"/>
  <c r="T237" i="8"/>
  <c r="C237" i="8" s="1"/>
  <c r="H236" i="8"/>
  <c r="K330" i="10"/>
  <c r="M329" i="10"/>
  <c r="S237" i="8" l="1"/>
  <c r="K331" i="10"/>
  <c r="M330" i="10"/>
  <c r="T238" i="8" l="1"/>
  <c r="C238" i="8" s="1"/>
  <c r="H237" i="8"/>
  <c r="R238" i="8"/>
  <c r="F238" i="8" s="1"/>
  <c r="G238" i="8" s="1"/>
  <c r="K332" i="10"/>
  <c r="M331" i="10"/>
  <c r="S238" i="8" l="1"/>
  <c r="K333" i="10"/>
  <c r="M332" i="10"/>
  <c r="T239" i="8" l="1"/>
  <c r="C239" i="8" s="1"/>
  <c r="R239" i="8"/>
  <c r="F239" i="8" s="1"/>
  <c r="G239" i="8" s="1"/>
  <c r="H238" i="8"/>
  <c r="K334" i="10"/>
  <c r="M333" i="10"/>
  <c r="S239" i="8" l="1"/>
  <c r="K335" i="10"/>
  <c r="M334" i="10"/>
  <c r="R240" i="8" l="1"/>
  <c r="F240" i="8" s="1"/>
  <c r="G240" i="8" s="1"/>
  <c r="T240" i="8"/>
  <c r="C240" i="8" s="1"/>
  <c r="H239" i="8"/>
  <c r="K336" i="10"/>
  <c r="M335" i="10"/>
  <c r="S240" i="8" l="1"/>
  <c r="K337" i="10"/>
  <c r="M336" i="10"/>
  <c r="H240" i="8" l="1"/>
  <c r="T241" i="8"/>
  <c r="C241" i="8" s="1"/>
  <c r="R241" i="8"/>
  <c r="F241" i="8" s="1"/>
  <c r="G241" i="8" s="1"/>
  <c r="S241" i="8"/>
  <c r="K338" i="10"/>
  <c r="M337" i="10"/>
  <c r="H241" i="8" l="1"/>
  <c r="T242" i="8"/>
  <c r="C242" i="8" s="1"/>
  <c r="R242" i="8"/>
  <c r="F242" i="8" s="1"/>
  <c r="G242" i="8" s="1"/>
  <c r="K339" i="10"/>
  <c r="M338" i="10"/>
  <c r="S242" i="8" l="1"/>
  <c r="K340" i="10"/>
  <c r="M339" i="10"/>
  <c r="H242" i="8" l="1"/>
  <c r="T243" i="8"/>
  <c r="C243" i="8" s="1"/>
  <c r="R243" i="8"/>
  <c r="F243" i="8" s="1"/>
  <c r="G243" i="8" s="1"/>
  <c r="K341" i="10"/>
  <c r="M340" i="10"/>
  <c r="S243" i="8" l="1"/>
  <c r="H243" i="8" s="1"/>
  <c r="K342" i="10"/>
  <c r="M341" i="10"/>
  <c r="T244" i="8" l="1"/>
  <c r="C244" i="8" s="1"/>
  <c r="R244" i="8"/>
  <c r="F244" i="8" s="1"/>
  <c r="G244" i="8" s="1"/>
  <c r="K343" i="10"/>
  <c r="M342" i="10"/>
  <c r="S244" i="8" l="1"/>
  <c r="K344" i="10"/>
  <c r="M343" i="10"/>
  <c r="R245" i="8" l="1"/>
  <c r="F245" i="8" s="1"/>
  <c r="G245" i="8" s="1"/>
  <c r="T245" i="8"/>
  <c r="C245" i="8" s="1"/>
  <c r="H244" i="8"/>
  <c r="S245" i="8"/>
  <c r="K345" i="10"/>
  <c r="M344" i="10"/>
  <c r="R246" i="8" l="1"/>
  <c r="H245" i="8"/>
  <c r="T246" i="8"/>
  <c r="C246" i="8" s="1"/>
  <c r="K346" i="10"/>
  <c r="M345" i="10"/>
  <c r="F246" i="8" l="1"/>
  <c r="G246" i="8" s="1"/>
  <c r="S246" i="8"/>
  <c r="K347" i="10"/>
  <c r="M346" i="10"/>
  <c r="T247" i="8" l="1"/>
  <c r="C247" i="8" s="1"/>
  <c r="R247" i="8"/>
  <c r="F247" i="8" s="1"/>
  <c r="G247" i="8" s="1"/>
  <c r="S247" i="8"/>
  <c r="H246" i="8"/>
  <c r="K348" i="10"/>
  <c r="M347" i="10"/>
  <c r="T248" i="8" l="1"/>
  <c r="C248" i="8" s="1"/>
  <c r="H247" i="8"/>
  <c r="R248" i="8"/>
  <c r="K349" i="10"/>
  <c r="M348" i="10"/>
  <c r="S248" i="8" l="1"/>
  <c r="F248" i="8"/>
  <c r="G248" i="8" s="1"/>
  <c r="K350" i="10"/>
  <c r="M349" i="10"/>
  <c r="R249" i="8" l="1"/>
  <c r="H248" i="8"/>
  <c r="T249" i="8"/>
  <c r="C249" i="8" s="1"/>
  <c r="K351" i="10"/>
  <c r="M350" i="10"/>
  <c r="F249" i="8" l="1"/>
  <c r="G249" i="8" s="1"/>
  <c r="S249" i="8"/>
  <c r="K352" i="10"/>
  <c r="M351" i="10"/>
  <c r="R250" i="8" l="1"/>
  <c r="H249" i="8"/>
  <c r="T250" i="8"/>
  <c r="C250" i="8" s="1"/>
  <c r="K353" i="10"/>
  <c r="M352" i="10"/>
  <c r="F250" i="8" l="1"/>
  <c r="G250" i="8" s="1"/>
  <c r="S250" i="8"/>
  <c r="K354" i="10"/>
  <c r="M353" i="10"/>
  <c r="H250" i="8" l="1"/>
  <c r="R251" i="8"/>
  <c r="T251" i="8"/>
  <c r="C251" i="8" s="1"/>
  <c r="K355" i="10"/>
  <c r="M354" i="10"/>
  <c r="F251" i="8" l="1"/>
  <c r="G251" i="8" s="1"/>
  <c r="S251" i="8"/>
  <c r="K356" i="10"/>
  <c r="M355" i="10"/>
  <c r="R252" i="8" l="1"/>
  <c r="H251" i="8"/>
  <c r="T252" i="8"/>
  <c r="C252" i="8" s="1"/>
  <c r="K357" i="10"/>
  <c r="M356" i="10"/>
  <c r="F252" i="8" l="1"/>
  <c r="G252" i="8" s="1"/>
  <c r="S252" i="8"/>
  <c r="K358" i="10"/>
  <c r="M357" i="10"/>
  <c r="T253" i="8" l="1"/>
  <c r="C253" i="8" s="1"/>
  <c r="H252" i="8"/>
  <c r="R253" i="8"/>
  <c r="K359" i="10"/>
  <c r="M358" i="10"/>
  <c r="F253" i="8" l="1"/>
  <c r="G253" i="8" s="1"/>
  <c r="S253" i="8"/>
  <c r="K360" i="10"/>
  <c r="M359" i="10"/>
  <c r="R254" i="8" l="1"/>
  <c r="T254" i="8"/>
  <c r="C254" i="8" s="1"/>
  <c r="H253" i="8"/>
  <c r="K361" i="10"/>
  <c r="M360" i="10"/>
  <c r="F254" i="8" l="1"/>
  <c r="G254" i="8" s="1"/>
  <c r="S254" i="8"/>
  <c r="K362" i="10"/>
  <c r="M361" i="10"/>
  <c r="H254" i="8" l="1"/>
  <c r="R255" i="8"/>
  <c r="F255" i="8" s="1"/>
  <c r="G255" i="8" s="1"/>
  <c r="S255" i="8"/>
  <c r="T255" i="8"/>
  <c r="C255" i="8" s="1"/>
  <c r="K363" i="10"/>
  <c r="M362" i="10"/>
  <c r="T256" i="8" l="1"/>
  <c r="C256" i="8" s="1"/>
  <c r="R256" i="8"/>
  <c r="H255" i="8"/>
  <c r="K364" i="10"/>
  <c r="M363" i="10"/>
  <c r="S256" i="8" l="1"/>
  <c r="F256" i="8"/>
  <c r="G256" i="8" s="1"/>
  <c r="K365" i="10"/>
  <c r="M364" i="10"/>
  <c r="H256" i="8" l="1"/>
  <c r="R257" i="8"/>
  <c r="T257" i="8"/>
  <c r="C257" i="8" s="1"/>
  <c r="K366" i="10"/>
  <c r="M365" i="10"/>
  <c r="S257" i="8" l="1"/>
  <c r="F257" i="8"/>
  <c r="G257" i="8" s="1"/>
  <c r="K367" i="10"/>
  <c r="M366" i="10"/>
  <c r="H257" i="8" l="1"/>
  <c r="T258" i="8"/>
  <c r="C258" i="8" s="1"/>
  <c r="R258" i="8"/>
  <c r="F258" i="8" s="1"/>
  <c r="G258" i="8" s="1"/>
  <c r="S258" i="8"/>
  <c r="R259" i="8"/>
  <c r="F259" i="8" s="1"/>
  <c r="G259" i="8" s="1"/>
  <c r="T259" i="8"/>
  <c r="C259" i="8" s="1"/>
  <c r="H258" i="8"/>
  <c r="K368" i="10"/>
  <c r="M367" i="10"/>
  <c r="S259" i="8" l="1"/>
  <c r="K369" i="10"/>
  <c r="M368" i="10"/>
  <c r="T260" i="8" l="1"/>
  <c r="C260" i="8" s="1"/>
  <c r="H259" i="8"/>
  <c r="R260" i="8"/>
  <c r="F260" i="8" s="1"/>
  <c r="G260" i="8" s="1"/>
  <c r="S260" i="8"/>
  <c r="K370" i="10"/>
  <c r="M369" i="10"/>
  <c r="H260" i="8" l="1"/>
  <c r="T261" i="8"/>
  <c r="C261" i="8" s="1"/>
  <c r="R261" i="8"/>
  <c r="F261" i="8" s="1"/>
  <c r="G261" i="8" s="1"/>
  <c r="K371" i="10"/>
  <c r="M370" i="10"/>
  <c r="S261" i="8" l="1"/>
  <c r="H261" i="8"/>
  <c r="T262" i="8"/>
  <c r="C262" i="8" s="1"/>
  <c r="R262" i="8"/>
  <c r="F262" i="8" s="1"/>
  <c r="G262" i="8" s="1"/>
  <c r="K372" i="10"/>
  <c r="M371" i="10"/>
  <c r="S262" i="8" l="1"/>
  <c r="T263" i="8" s="1"/>
  <c r="C263" i="8" s="1"/>
  <c r="K373" i="10"/>
  <c r="M372" i="10"/>
  <c r="H262" i="8" l="1"/>
  <c r="R263" i="8"/>
  <c r="F263" i="8" s="1"/>
  <c r="G263" i="8" s="1"/>
  <c r="K374" i="10"/>
  <c r="M373" i="10"/>
  <c r="S263" i="8" l="1"/>
  <c r="K375" i="10"/>
  <c r="M374" i="10"/>
  <c r="H263" i="8" l="1"/>
  <c r="R264" i="8"/>
  <c r="F264" i="8" s="1"/>
  <c r="G264" i="8" s="1"/>
  <c r="T264" i="8"/>
  <c r="C264" i="8" s="1"/>
  <c r="K376" i="10"/>
  <c r="M375" i="10"/>
  <c r="S264" i="8" l="1"/>
  <c r="K377" i="10"/>
  <c r="M376" i="10"/>
  <c r="H264" i="8" l="1"/>
  <c r="T265" i="8"/>
  <c r="C265" i="8" s="1"/>
  <c r="R265" i="8"/>
  <c r="F265" i="8" s="1"/>
  <c r="G265" i="8" s="1"/>
  <c r="K378" i="10"/>
  <c r="M377" i="10"/>
  <c r="S265" i="8" l="1"/>
  <c r="K379" i="10"/>
  <c r="M378" i="10"/>
  <c r="H265" i="8" l="1"/>
  <c r="T266" i="8"/>
  <c r="C266" i="8" s="1"/>
  <c r="R266" i="8"/>
  <c r="F266" i="8" s="1"/>
  <c r="G266" i="8" s="1"/>
  <c r="S266" i="8"/>
  <c r="K380" i="10"/>
  <c r="M379" i="10"/>
  <c r="H266" i="8" l="1"/>
  <c r="R267" i="8"/>
  <c r="F267" i="8" s="1"/>
  <c r="G267" i="8" s="1"/>
  <c r="T267" i="8"/>
  <c r="C267" i="8" s="1"/>
  <c r="S267" i="8"/>
  <c r="K381" i="10"/>
  <c r="M380" i="10"/>
  <c r="H267" i="8" l="1"/>
  <c r="R268" i="8"/>
  <c r="F268" i="8" s="1"/>
  <c r="G268" i="8" s="1"/>
  <c r="T268" i="8"/>
  <c r="C268" i="8" s="1"/>
  <c r="S268" i="8"/>
  <c r="K382" i="10"/>
  <c r="M381" i="10"/>
  <c r="H268" i="8" l="1"/>
  <c r="T269" i="8"/>
  <c r="C269" i="8" s="1"/>
  <c r="R269" i="8"/>
  <c r="F269" i="8" s="1"/>
  <c r="G269" i="8" s="1"/>
  <c r="K383" i="10"/>
  <c r="M382" i="10"/>
  <c r="S269" i="8" l="1"/>
  <c r="K384" i="10"/>
  <c r="M383" i="10"/>
  <c r="R270" i="8" l="1"/>
  <c r="F270" i="8" s="1"/>
  <c r="G270" i="8" s="1"/>
  <c r="H269" i="8"/>
  <c r="T270" i="8"/>
  <c r="C270" i="8" s="1"/>
  <c r="S270" i="8"/>
  <c r="K385" i="10"/>
  <c r="M384" i="10"/>
  <c r="T271" i="8" l="1"/>
  <c r="C271" i="8" s="1"/>
  <c r="R271" i="8"/>
  <c r="H270" i="8"/>
  <c r="K386" i="10"/>
  <c r="M386" i="10" s="1"/>
  <c r="O21" i="10" s="1"/>
  <c r="N20" i="10" s="1"/>
  <c r="M385" i="10"/>
  <c r="S271" i="8" l="1"/>
  <c r="F271" i="8"/>
  <c r="G271" i="8" s="1"/>
  <c r="H271" i="8" l="1"/>
  <c r="R272" i="8"/>
  <c r="T272" i="8"/>
  <c r="C272" i="8" s="1"/>
  <c r="S272" i="8" l="1"/>
  <c r="F272" i="8"/>
  <c r="G272" i="8" s="1"/>
  <c r="H272" i="8" l="1"/>
  <c r="T273" i="8"/>
  <c r="C273" i="8" s="1"/>
  <c r="R273" i="8"/>
  <c r="F273" i="8" s="1"/>
  <c r="G273" i="8" s="1"/>
  <c r="S273" i="8" l="1"/>
  <c r="R274" i="8" l="1"/>
  <c r="F274" i="8" s="1"/>
  <c r="G274" i="8" s="1"/>
  <c r="H273" i="8"/>
  <c r="T274" i="8"/>
  <c r="C274" i="8" s="1"/>
  <c r="S274" i="8" l="1"/>
  <c r="T275" i="8" l="1"/>
  <c r="C275" i="8" s="1"/>
  <c r="R275" i="8"/>
  <c r="F275" i="8" s="1"/>
  <c r="G275" i="8" s="1"/>
  <c r="S275" i="8"/>
  <c r="H274" i="8"/>
  <c r="H275" i="8" l="1"/>
  <c r="R276" i="8"/>
  <c r="F276" i="8" s="1"/>
  <c r="G276" i="8" s="1"/>
  <c r="T276" i="8"/>
  <c r="C276" i="8" s="1"/>
  <c r="S276" i="8"/>
  <c r="H276" i="8" l="1"/>
  <c r="T277" i="8"/>
  <c r="C277" i="8" s="1"/>
  <c r="R277" i="8"/>
  <c r="F277" i="8" l="1"/>
  <c r="G277" i="8" s="1"/>
  <c r="S277" i="8"/>
  <c r="H277" i="8" l="1"/>
  <c r="T278" i="8"/>
  <c r="C278" i="8" s="1"/>
  <c r="R278" i="8"/>
  <c r="F278" i="8" l="1"/>
  <c r="G278" i="8" s="1"/>
  <c r="S278" i="8"/>
  <c r="R279" i="8" l="1"/>
  <c r="H278" i="8"/>
  <c r="T279" i="8"/>
  <c r="C279" i="8" s="1"/>
  <c r="F279" i="8" l="1"/>
  <c r="G279" i="8" s="1"/>
  <c r="S279" i="8"/>
  <c r="T280" i="8" l="1"/>
  <c r="C280" i="8" s="1"/>
  <c r="R280" i="8"/>
  <c r="F280" i="8" s="1"/>
  <c r="G280" i="8" s="1"/>
  <c r="H279" i="8"/>
  <c r="S280" i="8" l="1"/>
  <c r="R281" i="8" l="1"/>
  <c r="F281" i="8" s="1"/>
  <c r="G281" i="8" s="1"/>
  <c r="T281" i="8"/>
  <c r="C281" i="8" s="1"/>
  <c r="H280" i="8"/>
  <c r="S281" i="8"/>
  <c r="R282" i="8" l="1"/>
  <c r="H281" i="8"/>
  <c r="T282" i="8"/>
  <c r="C282" i="8" s="1"/>
  <c r="F282" i="8" l="1"/>
  <c r="G282" i="8" s="1"/>
  <c r="S282" i="8"/>
  <c r="R283" i="8" l="1"/>
  <c r="H282" i="8"/>
  <c r="T283" i="8"/>
  <c r="C283" i="8" s="1"/>
  <c r="F283" i="8" l="1"/>
  <c r="G283" i="8" s="1"/>
  <c r="S283" i="8"/>
  <c r="R284" i="8" l="1"/>
  <c r="T284" i="8"/>
  <c r="C284" i="8" s="1"/>
  <c r="H283" i="8"/>
  <c r="S284" i="8" l="1"/>
  <c r="F284" i="8"/>
  <c r="G284" i="8" s="1"/>
  <c r="T285" i="8" l="1"/>
  <c r="C285" i="8" s="1"/>
  <c r="H284" i="8"/>
  <c r="R285" i="8"/>
  <c r="F285" i="8" s="1"/>
  <c r="G285" i="8" s="1"/>
  <c r="S285" i="8" l="1"/>
  <c r="H285" i="8" l="1"/>
  <c r="T286" i="8"/>
  <c r="C286" i="8" s="1"/>
  <c r="R286" i="8"/>
  <c r="F286" i="8" s="1"/>
  <c r="G286" i="8" s="1"/>
  <c r="S286" i="8" l="1"/>
  <c r="R287" i="8" l="1"/>
  <c r="F287" i="8" s="1"/>
  <c r="G287" i="8" s="1"/>
  <c r="H286" i="8"/>
  <c r="T287" i="8"/>
  <c r="C287" i="8" s="1"/>
  <c r="S287" i="8" l="1"/>
  <c r="T288" i="8" l="1"/>
  <c r="C288" i="8" s="1"/>
  <c r="H287" i="8"/>
  <c r="R288" i="8"/>
  <c r="F288" i="8" s="1"/>
  <c r="G288" i="8" s="1"/>
  <c r="S288" i="8"/>
  <c r="T289" i="8" l="1"/>
  <c r="C289" i="8" s="1"/>
  <c r="R289" i="8"/>
  <c r="H288" i="8"/>
  <c r="S289" i="8" l="1"/>
  <c r="F289" i="8"/>
  <c r="G289" i="8" s="1"/>
  <c r="T290" i="8" l="1"/>
  <c r="C290" i="8" s="1"/>
  <c r="R290" i="8"/>
  <c r="F290" i="8" s="1"/>
  <c r="G290" i="8" s="1"/>
  <c r="H289" i="8"/>
  <c r="S290" i="8"/>
  <c r="H290" i="8" l="1"/>
  <c r="R291" i="8"/>
  <c r="T291" i="8"/>
  <c r="C291" i="8" s="1"/>
  <c r="F291" i="8" l="1"/>
  <c r="G291" i="8" s="1"/>
  <c r="S291" i="8"/>
  <c r="R292" i="8" l="1"/>
  <c r="F292" i="8" s="1"/>
  <c r="G292" i="8" s="1"/>
  <c r="H291" i="8"/>
  <c r="T292" i="8"/>
  <c r="C292" i="8" s="1"/>
  <c r="S292" i="8" l="1"/>
  <c r="R293" i="8" l="1"/>
  <c r="F293" i="8" s="1"/>
  <c r="G293" i="8" s="1"/>
  <c r="H292" i="8"/>
  <c r="T293" i="8"/>
  <c r="C293" i="8" s="1"/>
  <c r="S293" i="8" l="1"/>
  <c r="H293" i="8" l="1"/>
  <c r="T294" i="8"/>
  <c r="C294" i="8" s="1"/>
  <c r="R294" i="8"/>
  <c r="S294" i="8" l="1"/>
  <c r="F294" i="8"/>
  <c r="G294" i="8" s="1"/>
  <c r="R295" i="8" l="1"/>
  <c r="F295" i="8" s="1"/>
  <c r="G295" i="8" s="1"/>
  <c r="H294" i="8"/>
  <c r="T295" i="8"/>
  <c r="C295" i="8" s="1"/>
  <c r="S295" i="8"/>
  <c r="R296" i="8" l="1"/>
  <c r="F296" i="8" s="1"/>
  <c r="G296" i="8" s="1"/>
  <c r="T296" i="8"/>
  <c r="C296" i="8" s="1"/>
  <c r="H295" i="8"/>
  <c r="S296" i="8" l="1"/>
  <c r="H296" i="8" l="1"/>
  <c r="R297" i="8"/>
  <c r="F297" i="8" s="1"/>
  <c r="G297" i="8" s="1"/>
  <c r="T297" i="8"/>
  <c r="C297" i="8" s="1"/>
  <c r="S297" i="8"/>
  <c r="H297" i="8" l="1"/>
  <c r="R298" i="8"/>
  <c r="F298" i="8" s="1"/>
  <c r="G298" i="8" s="1"/>
  <c r="T298" i="8"/>
  <c r="C298" i="8" s="1"/>
  <c r="S298" i="8"/>
  <c r="R299" i="8" l="1"/>
  <c r="T299" i="8"/>
  <c r="C299" i="8" s="1"/>
  <c r="H298" i="8"/>
  <c r="F299" i="8" l="1"/>
  <c r="G299" i="8" s="1"/>
  <c r="S299" i="8"/>
  <c r="H299" i="8" l="1"/>
  <c r="R300" i="8"/>
  <c r="F300" i="8" s="1"/>
  <c r="G300" i="8" s="1"/>
  <c r="T300" i="8"/>
  <c r="C300" i="8" s="1"/>
  <c r="S300" i="8"/>
  <c r="H300" i="8" l="1"/>
  <c r="T301" i="8"/>
  <c r="C301" i="8" s="1"/>
  <c r="R301" i="8"/>
  <c r="F301" i="8" l="1"/>
  <c r="G301" i="8" s="1"/>
  <c r="S301" i="8"/>
  <c r="H301" i="8" l="1"/>
  <c r="T302" i="8"/>
  <c r="C302" i="8" s="1"/>
  <c r="R302" i="8"/>
  <c r="F302" i="8" s="1"/>
  <c r="G302" i="8" s="1"/>
  <c r="S302" i="8" l="1"/>
  <c r="R303" i="8" l="1"/>
  <c r="F303" i="8" s="1"/>
  <c r="G303" i="8" s="1"/>
  <c r="H302" i="8"/>
  <c r="T303" i="8"/>
  <c r="C303" i="8" s="1"/>
  <c r="S303" i="8" l="1"/>
  <c r="T304" i="8" l="1"/>
  <c r="C304" i="8" s="1"/>
  <c r="R304" i="8"/>
  <c r="F304" i="8" s="1"/>
  <c r="G304" i="8" s="1"/>
  <c r="H303" i="8"/>
  <c r="S304" i="8"/>
  <c r="T305" i="8" l="1"/>
  <c r="C305" i="8" s="1"/>
  <c r="H304" i="8"/>
  <c r="R305" i="8"/>
  <c r="F305" i="8" s="1"/>
  <c r="G305" i="8" s="1"/>
  <c r="S305" i="8"/>
  <c r="H305" i="8" l="1"/>
  <c r="R306" i="8"/>
  <c r="T306" i="8"/>
  <c r="C306" i="8" s="1"/>
  <c r="S306" i="8" l="1"/>
  <c r="F306" i="8"/>
  <c r="G306" i="8" s="1"/>
  <c r="T307" i="8" l="1"/>
  <c r="C307" i="8" s="1"/>
  <c r="H306" i="8"/>
  <c r="R307" i="8"/>
  <c r="F307" i="8" s="1"/>
  <c r="G307" i="8" s="1"/>
  <c r="S307" i="8"/>
  <c r="T308" i="8" l="1"/>
  <c r="C308" i="8" s="1"/>
  <c r="H307" i="8"/>
  <c r="R308" i="8"/>
  <c r="F308" i="8" l="1"/>
  <c r="G308" i="8" s="1"/>
  <c r="S308" i="8"/>
  <c r="H308" i="8" l="1"/>
  <c r="R309" i="8"/>
  <c r="F309" i="8" s="1"/>
  <c r="G309" i="8" s="1"/>
  <c r="S309" i="8"/>
  <c r="T309" i="8"/>
  <c r="C309" i="8" s="1"/>
  <c r="R310" i="8" l="1"/>
  <c r="H309" i="8"/>
  <c r="T310" i="8"/>
  <c r="C310" i="8" s="1"/>
  <c r="S310" i="8" l="1"/>
  <c r="F310" i="8"/>
  <c r="G310" i="8" s="1"/>
  <c r="H310" i="8" l="1"/>
  <c r="R311" i="8"/>
  <c r="F311" i="8" s="1"/>
  <c r="G311" i="8" s="1"/>
  <c r="S311" i="8"/>
  <c r="T311" i="8"/>
  <c r="C311" i="8" s="1"/>
  <c r="R312" i="8" l="1"/>
  <c r="T312" i="8"/>
  <c r="C312" i="8" s="1"/>
  <c r="H311" i="8"/>
  <c r="S312" i="8" l="1"/>
  <c r="F312" i="8"/>
  <c r="G312" i="8" s="1"/>
  <c r="H312" i="8" l="1"/>
  <c r="T313" i="8"/>
  <c r="C313" i="8" s="1"/>
  <c r="R313" i="8"/>
  <c r="S313" i="8" l="1"/>
  <c r="F313" i="8"/>
  <c r="G313" i="8" s="1"/>
  <c r="T314" i="8" l="1"/>
  <c r="C314" i="8" s="1"/>
  <c r="H313" i="8"/>
  <c r="R314" i="8"/>
  <c r="F314" i="8" s="1"/>
  <c r="G314" i="8" s="1"/>
  <c r="S314" i="8" l="1"/>
  <c r="T315" i="8" l="1"/>
  <c r="C315" i="8" s="1"/>
  <c r="R315" i="8"/>
  <c r="F315" i="8" s="1"/>
  <c r="G315" i="8" s="1"/>
  <c r="H314" i="8"/>
  <c r="S315" i="8"/>
  <c r="R316" i="8" l="1"/>
  <c r="T316" i="8"/>
  <c r="C316" i="8" s="1"/>
  <c r="H315" i="8"/>
  <c r="F316" i="8" l="1"/>
  <c r="G316" i="8" s="1"/>
  <c r="S316" i="8"/>
  <c r="T317" i="8" l="1"/>
  <c r="C317" i="8" s="1"/>
  <c r="H316" i="8"/>
  <c r="R317" i="8"/>
  <c r="F317" i="8" s="1"/>
  <c r="G317" i="8" s="1"/>
  <c r="S317" i="8" l="1"/>
  <c r="T318" i="8" l="1"/>
  <c r="C318" i="8" s="1"/>
  <c r="H317" i="8"/>
  <c r="R318" i="8"/>
  <c r="F318" i="8" s="1"/>
  <c r="G318" i="8" s="1"/>
  <c r="S318" i="8"/>
  <c r="T319" i="8" l="1"/>
  <c r="C319" i="8" s="1"/>
  <c r="H318" i="8"/>
  <c r="R319" i="8"/>
  <c r="S319" i="8" l="1"/>
  <c r="F319" i="8"/>
  <c r="G319" i="8" s="1"/>
  <c r="T320" i="8" l="1"/>
  <c r="C320" i="8" s="1"/>
  <c r="H319" i="8"/>
  <c r="R320" i="8"/>
  <c r="S320" i="8" l="1"/>
  <c r="F320" i="8"/>
  <c r="G320" i="8" s="1"/>
  <c r="S321" i="8" l="1"/>
  <c r="R322" i="8" s="1"/>
  <c r="F322" i="8" s="1"/>
  <c r="G322" i="8" s="1"/>
  <c r="R321" i="8"/>
  <c r="F321" i="8" s="1"/>
  <c r="G321" i="8" s="1"/>
  <c r="H320" i="8"/>
  <c r="T321" i="8"/>
  <c r="C321" i="8" s="1"/>
  <c r="S322" i="8" l="1"/>
  <c r="H322" i="8" s="1"/>
  <c r="T322" i="8"/>
  <c r="C322" i="8" s="1"/>
  <c r="H321" i="8"/>
  <c r="R323" i="8" l="1"/>
  <c r="F323" i="8" s="1"/>
  <c r="G323" i="8" s="1"/>
  <c r="T323" i="8"/>
  <c r="C323" i="8" s="1"/>
  <c r="S323" i="8"/>
  <c r="H323" i="8" s="1"/>
  <c r="T324" i="8" l="1"/>
  <c r="C324" i="8" s="1"/>
  <c r="R324" i="8"/>
  <c r="F324" i="8"/>
  <c r="G324" i="8" s="1"/>
  <c r="S324" i="8"/>
  <c r="H324" i="8" l="1"/>
  <c r="T325" i="8"/>
  <c r="C325" i="8" s="1"/>
  <c r="R325" i="8"/>
  <c r="F325" i="8" s="1"/>
  <c r="G325" i="8" s="1"/>
  <c r="S325" i="8" l="1"/>
  <c r="T326" i="8" s="1"/>
  <c r="C326" i="8" s="1"/>
  <c r="H325" i="8"/>
  <c r="R326" i="8"/>
  <c r="F326" i="8" l="1"/>
  <c r="G326" i="8" s="1"/>
  <c r="S326" i="8"/>
  <c r="R327" i="8" l="1"/>
  <c r="H326" i="8"/>
  <c r="T327" i="8"/>
  <c r="C327" i="8" s="1"/>
  <c r="F327" i="8" l="1"/>
  <c r="G327" i="8" s="1"/>
  <c r="S327" i="8"/>
  <c r="H327" i="8" l="1"/>
  <c r="R328" i="8"/>
  <c r="T328" i="8"/>
  <c r="C328" i="8" s="1"/>
  <c r="F328" i="8" l="1"/>
  <c r="G328" i="8" s="1"/>
  <c r="S328" i="8"/>
  <c r="H328" i="8" l="1"/>
  <c r="R329" i="8"/>
  <c r="F329" i="8" s="1"/>
  <c r="G329" i="8" s="1"/>
  <c r="T329" i="8"/>
  <c r="C329" i="8" s="1"/>
  <c r="S329" i="8"/>
  <c r="R330" i="8" l="1"/>
  <c r="H329" i="8"/>
  <c r="T330" i="8"/>
  <c r="C330" i="8" s="1"/>
  <c r="S330" i="8" l="1"/>
  <c r="F330" i="8"/>
  <c r="G330" i="8" s="1"/>
  <c r="R331" i="8" l="1"/>
  <c r="T331" i="8"/>
  <c r="C331" i="8" s="1"/>
  <c r="H330" i="8"/>
  <c r="F331" i="8" l="1"/>
  <c r="G331" i="8" s="1"/>
  <c r="S331" i="8"/>
  <c r="T332" i="8" l="1"/>
  <c r="C332" i="8" s="1"/>
  <c r="H331" i="8"/>
  <c r="R332" i="8"/>
  <c r="F332" i="8" s="1"/>
  <c r="G332" i="8" s="1"/>
  <c r="S332" i="8" l="1"/>
  <c r="R333" i="8" s="1"/>
  <c r="T333" i="8" l="1"/>
  <c r="C333" i="8" s="1"/>
  <c r="H332" i="8"/>
  <c r="S333" i="8"/>
  <c r="F333" i="8"/>
  <c r="G333" i="8" s="1"/>
  <c r="T334" i="8" l="1"/>
  <c r="C334" i="8" s="1"/>
  <c r="H333" i="8"/>
  <c r="R334" i="8"/>
  <c r="S334" i="8" l="1"/>
  <c r="F334" i="8"/>
  <c r="G334" i="8" s="1"/>
  <c r="T335" i="8" l="1"/>
  <c r="C335" i="8" s="1"/>
  <c r="H334" i="8"/>
  <c r="R335" i="8"/>
  <c r="S335" i="8" l="1"/>
  <c r="F335" i="8"/>
  <c r="G335" i="8" s="1"/>
  <c r="H335" i="8" l="1"/>
  <c r="R336" i="8"/>
  <c r="T336" i="8"/>
  <c r="C336" i="8" s="1"/>
  <c r="S336" i="8" l="1"/>
  <c r="F336" i="8"/>
  <c r="G336" i="8" s="1"/>
  <c r="R337" i="8" l="1"/>
  <c r="H336" i="8"/>
  <c r="T337" i="8"/>
  <c r="C337" i="8" s="1"/>
  <c r="S337" i="8" l="1"/>
  <c r="F337" i="8"/>
  <c r="G337" i="8" s="1"/>
  <c r="T338" i="8" l="1"/>
  <c r="C338" i="8" s="1"/>
  <c r="H337" i="8"/>
  <c r="R338" i="8"/>
  <c r="S338" i="8" l="1"/>
  <c r="F338" i="8"/>
  <c r="G338" i="8" s="1"/>
  <c r="T339" i="8" l="1"/>
  <c r="C339" i="8" s="1"/>
  <c r="H338" i="8"/>
  <c r="R339" i="8"/>
  <c r="F339" i="8" s="1"/>
  <c r="G339" i="8" s="1"/>
  <c r="S339" i="8" l="1"/>
  <c r="H339" i="8" s="1"/>
  <c r="R340" i="8" l="1"/>
  <c r="T340" i="8"/>
  <c r="C340" i="8" s="1"/>
  <c r="S340" i="8"/>
  <c r="F340" i="8"/>
  <c r="G340" i="8" s="1"/>
  <c r="R341" i="8" l="1"/>
  <c r="H340" i="8"/>
  <c r="T341" i="8"/>
  <c r="C341" i="8" s="1"/>
  <c r="S341" i="8" l="1"/>
  <c r="F341" i="8"/>
  <c r="G341" i="8" s="1"/>
  <c r="R342" i="8" l="1"/>
  <c r="T342" i="8"/>
  <c r="C342" i="8" s="1"/>
  <c r="H341" i="8"/>
  <c r="S342" i="8" l="1"/>
  <c r="F342" i="8"/>
  <c r="G342" i="8" s="1"/>
  <c r="T343" i="8" l="1"/>
  <c r="C343" i="8" s="1"/>
  <c r="H342" i="8"/>
  <c r="R343" i="8"/>
  <c r="S343" i="8" l="1"/>
  <c r="F343" i="8"/>
  <c r="G343" i="8" s="1"/>
  <c r="T344" i="8" l="1"/>
  <c r="C344" i="8" s="1"/>
  <c r="R344" i="8"/>
  <c r="H343" i="8"/>
  <c r="T19" i="8"/>
  <c r="T20" i="8"/>
  <c r="T21" i="8"/>
  <c r="T22" i="8"/>
  <c r="T23" i="8"/>
  <c r="T24" i="8"/>
  <c r="T25" i="8"/>
  <c r="T26" i="8"/>
  <c r="T27" i="8"/>
  <c r="T28" i="8"/>
  <c r="T29" i="8"/>
  <c r="T30" i="8"/>
  <c r="T31" i="8"/>
  <c r="T32" i="8"/>
  <c r="T33" i="8"/>
  <c r="T34" i="8"/>
  <c r="T35" i="8"/>
  <c r="T36" i="8"/>
  <c r="T37" i="8"/>
  <c r="T38" i="8"/>
  <c r="T39" i="8"/>
  <c r="T40" i="8"/>
  <c r="T41" i="8"/>
  <c r="S344" i="8" l="1"/>
  <c r="F344" i="8"/>
  <c r="G344" i="8" s="1"/>
  <c r="C39" i="8"/>
  <c r="H39" i="8"/>
  <c r="C33" i="8"/>
  <c r="H33" i="8"/>
  <c r="C27" i="8"/>
  <c r="C21" i="8"/>
  <c r="C38" i="8"/>
  <c r="H38" i="8"/>
  <c r="C32" i="8"/>
  <c r="H32" i="8"/>
  <c r="C26" i="8"/>
  <c r="C20" i="8"/>
  <c r="C37" i="8"/>
  <c r="H37" i="8"/>
  <c r="C31" i="8"/>
  <c r="H31" i="8"/>
  <c r="C25" i="8"/>
  <c r="C19" i="8"/>
  <c r="C42" i="8"/>
  <c r="H42" i="8"/>
  <c r="C36" i="8"/>
  <c r="H36" i="8"/>
  <c r="C30" i="8"/>
  <c r="H30" i="8"/>
  <c r="C24" i="8"/>
  <c r="H41" i="8"/>
  <c r="C41" i="8"/>
  <c r="C35" i="8"/>
  <c r="H35" i="8"/>
  <c r="C29" i="8"/>
  <c r="H29" i="8"/>
  <c r="C23" i="8"/>
  <c r="C40" i="8"/>
  <c r="H40" i="8"/>
  <c r="C34" i="8"/>
  <c r="H34" i="8"/>
  <c r="C28" i="8"/>
  <c r="H28" i="8"/>
  <c r="C22" i="8"/>
  <c r="T14" i="8"/>
  <c r="R345" i="8" l="1"/>
  <c r="T345" i="8"/>
  <c r="C345" i="8" s="1"/>
  <c r="H344" i="8"/>
  <c r="C17" i="8"/>
  <c r="S345" i="8" l="1"/>
  <c r="F345" i="8"/>
  <c r="G345" i="8" s="1"/>
  <c r="T346" i="8" l="1"/>
  <c r="C346" i="8" s="1"/>
  <c r="R346" i="8"/>
  <c r="H345" i="8"/>
  <c r="S346" i="8" l="1"/>
  <c r="F346" i="8"/>
  <c r="G346" i="8" s="1"/>
  <c r="T347" i="8" l="1"/>
  <c r="C347" i="8" s="1"/>
  <c r="H346" i="8"/>
  <c r="R347" i="8"/>
  <c r="F347" i="8" l="1"/>
  <c r="G347" i="8" s="1"/>
  <c r="S347" i="8"/>
  <c r="T348" i="8" l="1"/>
  <c r="R348" i="8"/>
  <c r="H347" i="8"/>
  <c r="C348" i="8" l="1"/>
  <c r="T42" i="8"/>
  <c r="F348" i="8"/>
  <c r="G348" i="8" s="1"/>
  <c r="S348" i="8"/>
  <c r="F18" i="8" l="1"/>
  <c r="F19" i="8"/>
  <c r="H19" i="8" s="1"/>
  <c r="F20" i="8"/>
  <c r="H20" i="8" s="1"/>
  <c r="F21" i="8"/>
  <c r="H21" i="8" s="1"/>
  <c r="F22" i="8"/>
  <c r="H22" i="8" s="1"/>
  <c r="F23" i="8"/>
  <c r="H23" i="8" s="1"/>
  <c r="F24" i="8"/>
  <c r="H24" i="8" s="1"/>
  <c r="F25" i="8"/>
  <c r="H25" i="8" s="1"/>
  <c r="F26" i="8"/>
  <c r="H26" i="8" s="1"/>
  <c r="F27" i="8"/>
  <c r="H27" i="8" s="1"/>
  <c r="R351" i="8"/>
  <c r="H348" i="8"/>
  <c r="H43" i="8" s="1"/>
  <c r="R350" i="8"/>
  <c r="F17" i="8" l="1"/>
  <c r="H17" i="8" s="1"/>
  <c r="H18"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<sst xmlns="http://schemas.openxmlformats.org/spreadsheetml/2006/main" count="1257" uniqueCount="467">
  <si>
    <t>RETIREMENT ROADMAP</t>
  </si>
  <si>
    <t>SWP VS INTEREST PAYOUT</t>
  </si>
  <si>
    <t>WEALTH &amp; LOAN TENURE</t>
  </si>
  <si>
    <t>QUICK CALCYS</t>
  </si>
  <si>
    <t>FINANCIAL ROADMAP</t>
  </si>
  <si>
    <t>BACK</t>
  </si>
  <si>
    <t>DISCLAIMER</t>
  </si>
  <si>
    <t>SIP amount (per month)</t>
  </si>
  <si>
    <t>Lump sum investment amount (if any)</t>
  </si>
  <si>
    <t>YEARS</t>
  </si>
  <si>
    <t>SIP</t>
  </si>
  <si>
    <t>WEALTH</t>
  </si>
  <si>
    <t>SIP INV AMT</t>
  </si>
  <si>
    <t>SIP tenure (no. of years)</t>
  </si>
  <si>
    <t>Expected return from lump sum (p.a.)</t>
  </si>
  <si>
    <t>SIP top-up % (after every year), if any</t>
  </si>
  <si>
    <t>Expected return from SIP (p.a.)</t>
  </si>
  <si>
    <t>Cost of goal as of today</t>
  </si>
  <si>
    <t>SIP INVESTMENT</t>
  </si>
  <si>
    <t>Assumed inflation for the goal</t>
  </si>
  <si>
    <t>Expected return from new investment</t>
  </si>
  <si>
    <t>FUTURE VALUE OF THE GOAL</t>
  </si>
  <si>
    <t>YEAR</t>
  </si>
  <si>
    <t>MTHLY SIP AMT</t>
  </si>
  <si>
    <t>Expected return from SIP (CAGR)</t>
  </si>
  <si>
    <t>Percentage</t>
  </si>
  <si>
    <t>SWP REGULAR INCOME GENERATION</t>
  </si>
  <si>
    <t>PORTFOLIO ALLOCATION</t>
  </si>
  <si>
    <t>AMOUNT</t>
  </si>
  <si>
    <t>Liquidity</t>
  </si>
  <si>
    <t>Safety</t>
  </si>
  <si>
    <t>Growth</t>
  </si>
  <si>
    <t>Portfolio weighted average return</t>
  </si>
  <si>
    <t>Portfolio would continue till the age of</t>
  </si>
  <si>
    <t>AGE</t>
  </si>
  <si>
    <t>START OF THE YEAR CORPUS</t>
  </si>
  <si>
    <t>WITHDRAWAL</t>
  </si>
  <si>
    <t>END OF THE 
YEAR CORPUS</t>
  </si>
  <si>
    <t>YEARLY</t>
  </si>
  <si>
    <t>MONTHLY</t>
  </si>
  <si>
    <t>Current age</t>
  </si>
  <si>
    <t>Real Rate of Return</t>
  </si>
  <si>
    <t>Retirement age</t>
  </si>
  <si>
    <t>FV of Linked Asset</t>
  </si>
  <si>
    <t>Life expectancy age</t>
  </si>
  <si>
    <r>
      <t>Current monthly expenses</t>
    </r>
    <r>
      <rPr>
        <sz val="11"/>
        <color rgb="FFFF0000"/>
        <rFont val="Calibri"/>
        <family val="2"/>
      </rPr>
      <t>*</t>
    </r>
  </si>
  <si>
    <t>Assumed inflation</t>
  </si>
  <si>
    <t xml:space="preserve">Required lump-sum investment </t>
  </si>
  <si>
    <t>Assumed return after retirement</t>
  </si>
  <si>
    <t>Required fixed SIP investment</t>
  </si>
  <si>
    <t>Assumed return before retirement</t>
  </si>
  <si>
    <t>Required annual 10% SIP top-up</t>
  </si>
  <si>
    <t>START OF YEAR BALANCE</t>
  </si>
  <si>
    <t>ANNUAL WITHDRAWAL</t>
  </si>
  <si>
    <t>MONTHLY WITHDRAWAL</t>
  </si>
  <si>
    <t>REMAINING BALANCE</t>
  </si>
  <si>
    <t>END OF YEAR BALANCE</t>
  </si>
  <si>
    <t>Investment amount</t>
  </si>
  <si>
    <t>Assumed MF return</t>
  </si>
  <si>
    <t>Equity</t>
  </si>
  <si>
    <t>Tax slab</t>
  </si>
  <si>
    <t>Assumed FD return</t>
  </si>
  <si>
    <t>Withdrawal % from MF</t>
  </si>
  <si>
    <t>MUTUAL FUND SWP TAXATION (YEARLY)</t>
  </si>
  <si>
    <t>FIXED DEPOSIT INTEREST TAXATION (YEARLY)</t>
  </si>
  <si>
    <t>WITHDRAWAL
FROM MF</t>
  </si>
  <si>
    <t>TAX TYPE</t>
  </si>
  <si>
    <t>TOTAL TAX PAID</t>
  </si>
  <si>
    <t>EFFECTIVE 
TAX RATE</t>
  </si>
  <si>
    <t>WITHDRAWAL
FROM FD</t>
  </si>
  <si>
    <t>FD WITHDRAWAL</t>
  </si>
  <si>
    <t>MF WITHDRAWAL</t>
  </si>
  <si>
    <t>MF WITHDRAWAL%</t>
  </si>
  <si>
    <t>Amount Withdrawn (MF)</t>
  </si>
  <si>
    <t>TOTAL</t>
  </si>
  <si>
    <t>MUTUAL FUND SWP TAXATION (MONTHLY)</t>
  </si>
  <si>
    <t>FIXED DEPOSIT INTEREST TAXATION (MONTHLY)</t>
  </si>
  <si>
    <t>MONTH</t>
  </si>
  <si>
    <t>SWP AMT</t>
  </si>
  <si>
    <t>STCG</t>
  </si>
  <si>
    <t>TAX PAID</t>
  </si>
  <si>
    <t>FUND VALUE</t>
  </si>
  <si>
    <t>INTEREST PAYOUT</t>
  </si>
  <si>
    <t>FD VALUE</t>
  </si>
  <si>
    <t>NAV</t>
  </si>
  <si>
    <t>UNITS REDEEMED</t>
  </si>
  <si>
    <t>Amt Withdrawn</t>
  </si>
  <si>
    <t>NON-EQUITY MF &amp; FD TAXATION</t>
  </si>
  <si>
    <t>Total investment amount</t>
  </si>
  <si>
    <t xml:space="preserve">POST TAX RETURN </t>
  </si>
  <si>
    <t>NON-EQ MF</t>
  </si>
  <si>
    <t>FIXED DEPOSIT</t>
  </si>
  <si>
    <t>2017-18</t>
  </si>
  <si>
    <t>2023-24</t>
  </si>
  <si>
    <t>PARTICULARS</t>
  </si>
  <si>
    <t>NON-EQUITY MF</t>
  </si>
  <si>
    <t>CII</t>
  </si>
  <si>
    <t>Purchase Amount</t>
  </si>
  <si>
    <t>2001-02</t>
  </si>
  <si>
    <t>2002-03</t>
  </si>
  <si>
    <t>Tenure of Investment (in years)</t>
  </si>
  <si>
    <t>2003-04</t>
  </si>
  <si>
    <t>Pre-Tax Sale Value</t>
  </si>
  <si>
    <t>2004-05</t>
  </si>
  <si>
    <t>Interest Income</t>
  </si>
  <si>
    <t>NA</t>
  </si>
  <si>
    <t>2005-06</t>
  </si>
  <si>
    <t>2006-07</t>
  </si>
  <si>
    <t>2007-08</t>
  </si>
  <si>
    <t>2008-09</t>
  </si>
  <si>
    <t>Applicable Tax Rate</t>
  </si>
  <si>
    <t>2009-10</t>
  </si>
  <si>
    <t>Tax Payable</t>
  </si>
  <si>
    <t>2010-11</t>
  </si>
  <si>
    <t>Net Gain</t>
  </si>
  <si>
    <t>2011-12</t>
  </si>
  <si>
    <t>Post-Tax Sale Value</t>
  </si>
  <si>
    <t>2012-13</t>
  </si>
  <si>
    <t>2013-14</t>
  </si>
  <si>
    <t>2014-15</t>
  </si>
  <si>
    <t>2015-16</t>
  </si>
  <si>
    <t>2016-17</t>
  </si>
  <si>
    <t>2018-19</t>
  </si>
  <si>
    <t>2019-20</t>
  </si>
  <si>
    <t>2020-21</t>
  </si>
  <si>
    <t>2021-22</t>
  </si>
  <si>
    <t>2022-23</t>
  </si>
  <si>
    <r>
      <t xml:space="preserve">Wealth creation through increase in </t>
    </r>
    <r>
      <rPr>
        <b/>
        <sz val="11"/>
        <color rgb="FFFF0000"/>
        <rFont val="Calibri"/>
        <family val="2"/>
      </rPr>
      <t>HOME LOAN</t>
    </r>
    <r>
      <rPr>
        <sz val="11"/>
        <color theme="1"/>
        <rFont val="Calibri"/>
        <family val="2"/>
      </rPr>
      <t xml:space="preserve"> tenure</t>
    </r>
  </si>
  <si>
    <t>MONTHS</t>
  </si>
  <si>
    <t>INTEREST PAID</t>
  </si>
  <si>
    <t>PRINCIPAL PAID</t>
  </si>
  <si>
    <t>If home loan tenure was not increased</t>
  </si>
  <si>
    <t>and no SIP investment was made</t>
  </si>
  <si>
    <t>Total outgo from now onwards</t>
  </si>
  <si>
    <t>Outstanding principal amount</t>
  </si>
  <si>
    <t>Wealth created</t>
  </si>
  <si>
    <t>If home loan tenure was increased</t>
  </si>
  <si>
    <t>Rate of interest after balance transfer</t>
  </si>
  <si>
    <t>Expected return from SIP investment</t>
  </si>
  <si>
    <t>WEALTH CREATED</t>
  </si>
  <si>
    <t>SIP FUTURE VALUE</t>
  </si>
  <si>
    <t>LUMP SUM FUTURE VALUE</t>
  </si>
  <si>
    <t>SIP investment amount (per month)</t>
  </si>
  <si>
    <t>Lump sum investment amount</t>
  </si>
  <si>
    <t>Investment tenure (no. of years)</t>
  </si>
  <si>
    <t>EXPECTED FUTURE VALUE</t>
  </si>
  <si>
    <t>Target amount of future value</t>
  </si>
  <si>
    <t>Expected return from lump sum inv.</t>
  </si>
  <si>
    <t>NO. OF YEARS REQUIRED</t>
  </si>
  <si>
    <t>REQUIRED SIP INVESTMENT</t>
  </si>
  <si>
    <t>REQUIRED LUMP SUM INVESTMENT</t>
  </si>
  <si>
    <t>REQUIRED RATE OF RETURN</t>
  </si>
  <si>
    <t>SIP &amp; SWP - YEAR ON YEAR CASHFLOW</t>
  </si>
  <si>
    <t>SWP WILL START FROM THE AGE</t>
  </si>
  <si>
    <t>SWP WILL CONTINUE TILL THE AGE OF</t>
  </si>
  <si>
    <t>Withdrawal amount per month (in today's value)</t>
  </si>
  <si>
    <t>PORTFOLIO @ 
START OF YEAR</t>
  </si>
  <si>
    <t>SIP INVESTMENT 
PER MONTH</t>
  </si>
  <si>
    <t>SWP INCOME RECEIVED / MTH</t>
  </si>
  <si>
    <t>SWP INCOME RECEIVED / YEAR</t>
  </si>
  <si>
    <t>SWP WILL LAST FOR</t>
  </si>
  <si>
    <t>FINANCIAL HEALTH CHECKUP</t>
  </si>
  <si>
    <t>Your age</t>
  </si>
  <si>
    <t>Your monthly income</t>
  </si>
  <si>
    <t>Your assets &amp; liabilities details:</t>
  </si>
  <si>
    <t>INVESTMENT ASSETS</t>
  </si>
  <si>
    <t>CURRENT VALUE</t>
  </si>
  <si>
    <t>LIABILITIES</t>
  </si>
  <si>
    <t>OUTSTANDING</t>
  </si>
  <si>
    <t>PHYSICAL ASSETS</t>
  </si>
  <si>
    <t>Liquid</t>
  </si>
  <si>
    <t>Home Loan</t>
  </si>
  <si>
    <t>Debt</t>
  </si>
  <si>
    <t>Vehicle Loan</t>
  </si>
  <si>
    <t>Personal Loan</t>
  </si>
  <si>
    <t>PERSONAL ASSETS</t>
  </si>
  <si>
    <t>Commodity</t>
  </si>
  <si>
    <t>Education Loan</t>
  </si>
  <si>
    <t>Primary Residence</t>
  </si>
  <si>
    <t>REIT / Structured Products</t>
  </si>
  <si>
    <t>Consumer Loan</t>
  </si>
  <si>
    <t>Personal Vehicles</t>
  </si>
  <si>
    <t>Alternative Investsment</t>
  </si>
  <si>
    <t xml:space="preserve">Credit Card </t>
  </si>
  <si>
    <t>Jewellery</t>
  </si>
  <si>
    <t>NET WORTH:</t>
  </si>
  <si>
    <t>DEBT TO INCOME RATIO:</t>
  </si>
  <si>
    <t>Net worth including personal assets (A)</t>
  </si>
  <si>
    <t>Your current EMI amount</t>
  </si>
  <si>
    <t>Net worth excluding personal assets (B)</t>
  </si>
  <si>
    <t>Your debt to income ratio</t>
  </si>
  <si>
    <t>Above net worth (B) shouldn't be less than</t>
  </si>
  <si>
    <t>This shouldn't be more than</t>
  </si>
  <si>
    <t>INVESTMENT RATIO:</t>
  </si>
  <si>
    <t>FINANCIAL ASSETS RATIO:</t>
  </si>
  <si>
    <t>Your current monthly investment</t>
  </si>
  <si>
    <t>Your total financial assets</t>
  </si>
  <si>
    <t>Your current investment ratio</t>
  </si>
  <si>
    <t>Financial assets / Total assets</t>
  </si>
  <si>
    <t>This shouldn't be less than</t>
  </si>
  <si>
    <t>Annual Expenses</t>
  </si>
  <si>
    <t>Your spouse's age</t>
  </si>
  <si>
    <t>Real rate of return</t>
  </si>
  <si>
    <t>Spouse's life expectancy</t>
  </si>
  <si>
    <t>Required corpus</t>
  </si>
  <si>
    <t>Current monthly household and lifestyle expenses</t>
  </si>
  <si>
    <t>Plus Loan O/S</t>
  </si>
  <si>
    <t>Minus LI Cover</t>
  </si>
  <si>
    <t>Minus Assets</t>
  </si>
  <si>
    <t>Addl Ins. Cover</t>
  </si>
  <si>
    <t>Assumed return on insurance proceeds in case of a claim</t>
  </si>
  <si>
    <t>Existing life insurance cover amount</t>
  </si>
  <si>
    <t>These calculators are designed using mathematical formulas and functions available in Microsoft Excel. Though utmost care has been taken in creating these calculators, but the accuracy of these are not guranteed. It is highly recommended that you cross-check the accuracy of the same by yourself. Certain assumptions are made while designing the calculators. Such assumptions are may or may not be appropriate considering your needs, priorities and risk profile. Result or output are displayed for representational purpose only and investment or insurance decisions should never be taken based on these results or output. Consult your Mutual fund Distributor, Insurance Consultant, Tax Advisor, Registered Investment Advisor etc. before taking any such decisions. Returns from any investment instrument displayed here are not guaranteed and are often subject to market risk and macro economic decisions. Tax laws, regulations etc. may change in the meantime from the date of designing these calculators - so also cross-check the same from authentic and official sources.</t>
  </si>
  <si>
    <t>Your age now</t>
  </si>
  <si>
    <t>Health insurance cover amt</t>
  </si>
  <si>
    <t>Life insurance cover amt</t>
  </si>
  <si>
    <t>No. of years, you want to contribute</t>
  </si>
  <si>
    <t>Monthly amount, you want to start with</t>
  </si>
  <si>
    <t>Annual step-up% on monthly contribution amt</t>
  </si>
  <si>
    <t>Annual life insurance premium</t>
  </si>
  <si>
    <t>Annual health insurance premium</t>
  </si>
  <si>
    <t>Assumed return from investment amt</t>
  </si>
  <si>
    <t>Year</t>
  </si>
  <si>
    <t>Age</t>
  </si>
  <si>
    <t>Contribution</t>
  </si>
  <si>
    <t>LI</t>
  </si>
  <si>
    <t>LI Mthly</t>
  </si>
  <si>
    <t>HI</t>
  </si>
  <si>
    <t>HI Monthly</t>
  </si>
  <si>
    <t>Wealth</t>
  </si>
  <si>
    <t>Total monthly outgo</t>
  </si>
  <si>
    <t>Monthly life insurance premium</t>
  </si>
  <si>
    <t>Monthly health insurance premium</t>
  </si>
  <si>
    <t>Monthly SIP investment amt</t>
  </si>
  <si>
    <t>PERSONAL DETAILS</t>
  </si>
  <si>
    <t>EXPENSE DETAILS</t>
  </si>
  <si>
    <t>Spouse's age</t>
  </si>
  <si>
    <t>Life expectancy (self)</t>
  </si>
  <si>
    <t>Retirement age (self)</t>
  </si>
  <si>
    <t>Life expectancy (spouse)</t>
  </si>
  <si>
    <t>Monthly expenses*</t>
  </si>
  <si>
    <t>Retirement</t>
  </si>
  <si>
    <t>Return expected post retirement</t>
  </si>
  <si>
    <t>Expected return on claim proceeds</t>
  </si>
  <si>
    <t>FV of mthly expenses</t>
  </si>
  <si>
    <t>FV of yearly expenses</t>
  </si>
  <si>
    <t>Insurance</t>
  </si>
  <si>
    <t>Withdrawal start age</t>
  </si>
  <si>
    <t>SWP Calculator</t>
  </si>
  <si>
    <t>Term Insurance Planning</t>
  </si>
  <si>
    <t>Retirement Calculator</t>
  </si>
  <si>
    <t>SWP vs FD Interest</t>
  </si>
  <si>
    <t>SIP + SWP</t>
  </si>
  <si>
    <t>3 - in - 1 Calculator</t>
  </si>
  <si>
    <t>PERSONAL FINANCE CALCULATORS</t>
  </si>
  <si>
    <t>Prepared for:</t>
  </si>
  <si>
    <t>Prepared by:</t>
  </si>
  <si>
    <t>Home Loan Tenure
&amp; SIP Calculator</t>
  </si>
  <si>
    <t>Check how Systematic Withdrawal Plan performs during distribution phase</t>
  </si>
  <si>
    <t>How SWP is tax effective compared to Fixed Deposit interest payout - find out here</t>
  </si>
  <si>
    <t>Detailed analysis of wealth creation (SIP) &amp; distribution (SWP) process</t>
  </si>
  <si>
    <t>Take care of your health cover, life cover and wealth creation in simplest manner</t>
  </si>
  <si>
    <t>Get to know how much life cover you require based on expense replacement</t>
  </si>
  <si>
    <t>What amount of investment you need to make to safeguard your retirement years</t>
  </si>
  <si>
    <t>What if you increase the loan tenure and start SIP of the difference amt</t>
  </si>
  <si>
    <t>Create multiple financial goals, plan retirement, cover health, life - all in one</t>
  </si>
  <si>
    <t>Fresh SIP will continue for (no. of years)</t>
  </si>
  <si>
    <t>Goal is due after (no. of years)</t>
  </si>
  <si>
    <t>How much investment is required?</t>
  </si>
  <si>
    <t>How much wealth can be created?</t>
  </si>
  <si>
    <t>Fresh SIP investment will continue for</t>
  </si>
  <si>
    <t>SIP &amp; Lump Sum
All in One</t>
  </si>
  <si>
    <t>SIP &amp; LUMP SUM - ALL IN ONE</t>
  </si>
  <si>
    <r>
      <rPr>
        <b/>
        <sz val="10"/>
        <color theme="1"/>
        <rFont val="Calibri"/>
        <family val="2"/>
      </rPr>
      <t xml:space="preserve">Disclaimer: </t>
    </r>
    <r>
      <rPr>
        <sz val="10"/>
        <color theme="1"/>
        <rFont val="Calibri"/>
        <family val="2"/>
      </rPr>
      <t xml:space="preserve"> Result or output of these calculators are for representational purpose only. Assumptions made here, may or may not be appropriate considering your needs, priorities and risk profile. Check with an expert before taking any financial decision.</t>
    </r>
  </si>
  <si>
    <t>Future Wealth Creation</t>
  </si>
  <si>
    <t>Required Investment to Make</t>
  </si>
  <si>
    <r>
      <rPr>
        <b/>
        <sz val="11"/>
        <color theme="1"/>
        <rFont val="Calibri"/>
        <family val="2"/>
      </rPr>
      <t xml:space="preserve">Disclaimer:  </t>
    </r>
    <r>
      <rPr>
        <sz val="11"/>
        <color theme="1"/>
        <rFont val="Calibri"/>
        <family val="2"/>
      </rPr>
      <t>Result or output of these calculators are for representational purpose only. Assumptions made here, may or may not be appropriate considering your needs, priorities and risk profile. Check with an expert before taking any financial decision.</t>
    </r>
  </si>
  <si>
    <t>Quick Calcys</t>
  </si>
  <si>
    <t>Find out wealth creation, reqd. investment, return, tenure - for SIP and lump sum</t>
  </si>
  <si>
    <t>Find out required amount of investment or wealth to be created for variety of scenarios</t>
  </si>
  <si>
    <t>Max SIP amount cap (for both - % or amount top-up)</t>
  </si>
  <si>
    <t>ASSET ALLOCATION FOR WITHDRAWAL PHASE:</t>
  </si>
  <si>
    <t>Mutual Fund type</t>
  </si>
  <si>
    <t>Withdrawal % from Mutual Fund</t>
  </si>
  <si>
    <t>Redemption done in FY</t>
  </si>
  <si>
    <t>Investment done in FY</t>
  </si>
  <si>
    <t>Assumed return - Fixed Deposit</t>
  </si>
  <si>
    <t>* E.g., Balanced Hybrid, Dynamic Asset Allocation, Balanced Advantage Funds (based on avg exposure in domestic equity in a year)</t>
  </si>
  <si>
    <t xml:space="preserve">Assumed Return </t>
  </si>
  <si>
    <t>Increase in withdrawal amount every year</t>
  </si>
  <si>
    <t>Expected portfolio return in withdrawal phase</t>
  </si>
  <si>
    <t>Monthly expenses in absence of breadwinner</t>
  </si>
  <si>
    <t>Total required life insurance cover</t>
  </si>
  <si>
    <t>Required retirement corpus</t>
  </si>
  <si>
    <t>Assumed return from above investment</t>
  </si>
  <si>
    <t>SIP top-up % (after every 12 months)</t>
  </si>
  <si>
    <t>SIP top-up amount (after every 12 months)</t>
  </si>
  <si>
    <t>Thereafter investment will be held for (no. of years)</t>
  </si>
  <si>
    <t>Here future value calculation is to be based on</t>
  </si>
  <si>
    <t>WEALTH @ END OF YEAR</t>
  </si>
  <si>
    <t>TOTAL INVESTMENT</t>
  </si>
  <si>
    <t>LUMP SUM + SIP(A)</t>
  </si>
  <si>
    <t>TOP-UP SIP (A)</t>
  </si>
  <si>
    <t>Value of assets linked to this goal</t>
  </si>
  <si>
    <t>Assumed return from linked assets</t>
  </si>
  <si>
    <t>Assumed return till withdrawal starts</t>
  </si>
  <si>
    <t>2024-25</t>
  </si>
  <si>
    <t>prepared by:</t>
  </si>
  <si>
    <t>Additional life insurance cover required</t>
  </si>
  <si>
    <t>ASSETS &amp; LIABILITIES DETAILS</t>
  </si>
  <si>
    <t>Your total loan outstanding (i.e. o/s principal amount)</t>
  </si>
  <si>
    <t>Outstanding principal as of now</t>
  </si>
  <si>
    <t>Current rate of interest on home loan</t>
  </si>
  <si>
    <t>O/S PRINCIPAL</t>
  </si>
  <si>
    <t>FORECLOSE POSSIBLE?</t>
  </si>
  <si>
    <t>Revised loan repayment schedule along with wealth creation through SIP:</t>
  </si>
  <si>
    <r>
      <t xml:space="preserve">Outstanding principal amount </t>
    </r>
    <r>
      <rPr>
        <sz val="12"/>
        <rFont val="Calibri"/>
        <family val="2"/>
      </rPr>
      <t>(a)</t>
    </r>
  </si>
  <si>
    <r>
      <t xml:space="preserve">Wealth created through SIP </t>
    </r>
    <r>
      <rPr>
        <sz val="12"/>
        <rFont val="Calibri"/>
        <family val="2"/>
      </rPr>
      <t>(b)</t>
    </r>
  </si>
  <si>
    <r>
      <t>Net wealth created</t>
    </r>
    <r>
      <rPr>
        <sz val="12"/>
        <rFont val="Calibri"/>
        <family val="2"/>
      </rPr>
      <t xml:space="preserve"> (b-a)</t>
    </r>
  </si>
  <si>
    <t>EMI AMOUNT</t>
  </si>
  <si>
    <t>Revised home loan tenure (no. of years)</t>
  </si>
  <si>
    <t>*Includes household + lifestyle expensesonly</t>
  </si>
  <si>
    <t>Other expenses (monthly)</t>
  </si>
  <si>
    <t>Return expected upto retirement</t>
  </si>
  <si>
    <t>Reqd. corpus</t>
  </si>
  <si>
    <t>Existing financial assets</t>
  </si>
  <si>
    <t>Reqd. life cover</t>
  </si>
  <si>
    <t xml:space="preserve">Assumed return: </t>
  </si>
  <si>
    <t>For long term goals</t>
  </si>
  <si>
    <t xml:space="preserve">Keep aside equal amount of </t>
  </si>
  <si>
    <t xml:space="preserve"> months' of total expenses</t>
  </si>
  <si>
    <t>Trishagni's Higher Education</t>
  </si>
  <si>
    <t>3-in-1 : Life, Health and Wealth</t>
  </si>
  <si>
    <t>Property (excl. non-primary)</t>
  </si>
  <si>
    <t>Gold, Silver (inv. purpose)</t>
  </si>
  <si>
    <t>Current EMI amount you're paying monthly</t>
  </si>
  <si>
    <t>Your current monthly investment amount</t>
  </si>
  <si>
    <t>Reqd. addl. cover</t>
  </si>
  <si>
    <t>Recommended health cover</t>
  </si>
  <si>
    <t>Current cover</t>
  </si>
  <si>
    <t>INFLATION</t>
  </si>
  <si>
    <t>FUTURE VALUE</t>
  </si>
  <si>
    <t>REQD. LUMPSUM</t>
  </si>
  <si>
    <t>REQD. SIP</t>
  </si>
  <si>
    <t>For short term goals (&lt;3 Yrs)</t>
  </si>
  <si>
    <t>For mid term goals (&gt;3  Yrs and &lt;5 Yrs)</t>
  </si>
  <si>
    <t>Loan can be foreclosed on or after</t>
  </si>
  <si>
    <t>Existing financial assets (not linked to any critical goal)</t>
  </si>
  <si>
    <t>BALANCE UNITS</t>
  </si>
  <si>
    <t>Capital Gain (Equity)</t>
  </si>
  <si>
    <t>Capital Gain (Specified)</t>
  </si>
  <si>
    <t>Capital Gain (Non-Equity)</t>
  </si>
  <si>
    <t>EXP. RETURN</t>
  </si>
  <si>
    <t>*Include only household and lifestyle expenses</t>
  </si>
  <si>
    <t>REQD. RATE OF RETURN IN LUMP SUM INVESTMENT</t>
  </si>
  <si>
    <t>NO. OF YEARS REQD. IN LUMP SUM INVESTMENT</t>
  </si>
  <si>
    <t>REQD. LUMP SUM INVESTMENT AMOUNT</t>
  </si>
  <si>
    <t>NO. OF YEARS REQD. IN SIP INVESTMENT</t>
  </si>
  <si>
    <t>REQD. SIP INVESTMENT AMOUNT</t>
  </si>
  <si>
    <t>REQD. RATE OF RETURN IN SIP INVESTMENT</t>
  </si>
  <si>
    <t>WHITE</t>
  </si>
  <si>
    <t>ORANGE</t>
  </si>
  <si>
    <r>
      <t>Assumed return - MF*</t>
    </r>
    <r>
      <rPr>
        <sz val="11"/>
        <color theme="1"/>
        <rFont val="Calibri"/>
        <family val="2"/>
      </rPr>
      <t xml:space="preserve"> (35%&lt; Eq Exposure &lt;65%)</t>
    </r>
  </si>
  <si>
    <t>BALANCE @
END OF YEAR</t>
  </si>
  <si>
    <t>Reqd. SIP amount</t>
  </si>
  <si>
    <t>FIXED SIP (B)</t>
  </si>
  <si>
    <t>DIFFERENCE  (A - B)</t>
  </si>
  <si>
    <t>LUMP SUM (C)</t>
  </si>
  <si>
    <t>LUMP SUM + SIP(B)</t>
  </si>
  <si>
    <t>Partner Name</t>
  </si>
  <si>
    <t>LIFE INSURANCE COVER</t>
  </si>
  <si>
    <t>HEALTH INSURANCE COVER</t>
  </si>
  <si>
    <t>Premium increase % on HI renewal</t>
  </si>
  <si>
    <t>Annual health insurance (HI) premium</t>
  </si>
  <si>
    <t>Current corpus</t>
  </si>
  <si>
    <t>Current monthly requirement</t>
  </si>
  <si>
    <r>
      <t xml:space="preserve">The chart on the right hand side shows the end-of-year corpus for first 25 years </t>
    </r>
    <r>
      <rPr>
        <b/>
        <sz val="11"/>
        <color rgb="FFFF0000"/>
        <rFont val="Wingdings"/>
        <charset val="2"/>
      </rPr>
      <t>à</t>
    </r>
  </si>
  <si>
    <t>Comparison is to be done for how many years?</t>
  </si>
  <si>
    <t>Similar to FD</t>
  </si>
  <si>
    <t>LTCG*</t>
  </si>
  <si>
    <t>After SIP tenure ends, SWP starts after no. of years</t>
  </si>
  <si>
    <t>BALANCE @ 
START OF YEAR</t>
  </si>
  <si>
    <t>Current value of linked investment</t>
  </si>
  <si>
    <r>
      <t>Balance loan tenure as of now (</t>
    </r>
    <r>
      <rPr>
        <b/>
        <sz val="12"/>
        <rFont val="Calibri"/>
        <family val="2"/>
      </rPr>
      <t>no. of months</t>
    </r>
    <r>
      <rPr>
        <sz val="12"/>
        <rFont val="Calibri"/>
        <family val="2"/>
      </rPr>
      <t>)</t>
    </r>
  </si>
  <si>
    <t>Balance loan tenure in years and months</t>
  </si>
  <si>
    <t>Current loan EMI (A)</t>
  </si>
  <si>
    <t>Revised loan EMI (B)</t>
  </si>
  <si>
    <r>
      <t xml:space="preserve">Saving in EMI </t>
    </r>
    <r>
      <rPr>
        <sz val="12"/>
        <rFont val="Calibri"/>
        <family val="2"/>
      </rPr>
      <t xml:space="preserve">or </t>
    </r>
    <r>
      <rPr>
        <b/>
        <sz val="12"/>
        <rFont val="Calibri"/>
        <family val="2"/>
      </rPr>
      <t xml:space="preserve">SIP investment amount </t>
    </r>
    <r>
      <rPr>
        <sz val="12"/>
        <rFont val="Calibri"/>
        <family val="2"/>
      </rPr>
      <t>(A-B)</t>
    </r>
  </si>
  <si>
    <t xml:space="preserve">By starting with mthly contribution of Rs. </t>
  </si>
  <si>
    <t>Quick Financial Plan</t>
  </si>
  <si>
    <t>Spouse's Age</t>
  </si>
  <si>
    <t>Your name</t>
  </si>
  <si>
    <t>Spouse's name</t>
  </si>
  <si>
    <t>First child's name</t>
  </si>
  <si>
    <t>Sahil</t>
  </si>
  <si>
    <t>Sneha</t>
  </si>
  <si>
    <t>MANDATORY INPUTS</t>
  </si>
  <si>
    <t>CONTINGENCY PLAN</t>
  </si>
  <si>
    <t>HEALTH INSURANCE</t>
  </si>
  <si>
    <r>
      <t xml:space="preserve">It is strongly recommended that you to keep sufficient amount (generally </t>
    </r>
    <r>
      <rPr>
        <b/>
        <sz val="12"/>
        <color rgb="FFFF0000"/>
        <rFont val="Calibri"/>
        <family val="2"/>
      </rPr>
      <t>equivalent to 3 to 6 months' of all your regular expenses</t>
    </r>
    <r>
      <rPr>
        <sz val="12"/>
        <color theme="1"/>
        <rFont val="Calibri"/>
        <family val="2"/>
      </rPr>
      <t>) in investment instruments where your money remains safe and liquid (i.e. any time you can withdraw).</t>
    </r>
  </si>
  <si>
    <t>Safeguard your financial assets and future goals, against any medical emergency by taking adequate amount of health cover.</t>
  </si>
  <si>
    <t>To be able to continue with current lifestyle &amp; household expenses till life expectancy, your spouse will need the following amt of life cover:</t>
  </si>
  <si>
    <t>Existing life cover</t>
  </si>
  <si>
    <t>Existing Health Cover</t>
  </si>
  <si>
    <t>Required Health Cover</t>
  </si>
  <si>
    <t>Required Life Cover</t>
  </si>
  <si>
    <t>Reqd. Addl. Health Cover</t>
  </si>
  <si>
    <t>Reqd. Addl. Life Cover</t>
  </si>
  <si>
    <t>Purvi Shah</t>
  </si>
  <si>
    <t>2nd child's name</t>
  </si>
  <si>
    <t>2nd Child's Age</t>
  </si>
  <si>
    <t>TERM INSURANCE COVER REQUIREMENT</t>
  </si>
  <si>
    <t>3rd child's name</t>
  </si>
  <si>
    <t>Dated:</t>
  </si>
  <si>
    <t>INVESTMENT SUMMARY</t>
  </si>
  <si>
    <t>PRESENT VALUE</t>
  </si>
  <si>
    <t>REQD. SIP INV.</t>
  </si>
  <si>
    <t>FINANCIAL GOAL</t>
  </si>
  <si>
    <t>Your own retirement goal</t>
  </si>
  <si>
    <t>Total SIP investment amount needs to start with now:</t>
  </si>
  <si>
    <t>Current Age</t>
  </si>
  <si>
    <t>Retirement Age</t>
  </si>
  <si>
    <t>Life Expectancy</t>
  </si>
  <si>
    <t>Assumed Inflation Rate Per Annum</t>
  </si>
  <si>
    <t>Expenses*</t>
  </si>
  <si>
    <r>
      <rPr>
        <b/>
        <sz val="12"/>
        <color theme="1"/>
        <rFont val="Calibri"/>
        <family val="2"/>
      </rPr>
      <t xml:space="preserve">* </t>
    </r>
    <r>
      <rPr>
        <sz val="12"/>
        <color theme="1"/>
        <rFont val="Calibri"/>
        <family val="2"/>
      </rPr>
      <t>Household &amp; Lifestyle</t>
    </r>
  </si>
  <si>
    <t>Current Household+Lifestyle Expenses</t>
  </si>
  <si>
    <t>Likely tax slab post retirement</t>
  </si>
  <si>
    <t>Expected Return Pre-Retirement</t>
  </si>
  <si>
    <t>Expected Return Post-Retirement</t>
  </si>
  <si>
    <t>RETIREMENT GOAL - DATA INPUT &amp; ASSUMPTIONS</t>
  </si>
  <si>
    <t>No. of years left for retirement</t>
  </si>
  <si>
    <t>No. of years after retirement</t>
  </si>
  <si>
    <t>1st month's expense post retirement</t>
  </si>
  <si>
    <t>1st year's expense post retirement</t>
  </si>
  <si>
    <t>(Pre-tax value)</t>
  </si>
  <si>
    <t>RETIREMENT GOAL - OUTPUT / ACTIONABLES</t>
  </si>
  <si>
    <t>Year End Balance</t>
  </si>
  <si>
    <t>Post-Tax Withdrawal</t>
  </si>
  <si>
    <t>Pre-Tax Withdrawal</t>
  </si>
  <si>
    <t>Opening Balance</t>
  </si>
  <si>
    <t>Capital Protection Amt</t>
  </si>
  <si>
    <t>GOAL</t>
  </si>
  <si>
    <t>Life cover calculation</t>
  </si>
  <si>
    <r>
      <t xml:space="preserve">LIFE INSURANCE </t>
    </r>
    <r>
      <rPr>
        <sz val="12"/>
        <rFont val="Calibri"/>
        <family val="2"/>
      </rPr>
      <t>(Inflation, spouse's life expectancy and return on claim proceeds are assumed as per data given for retirement goal)</t>
    </r>
  </si>
  <si>
    <t>Inflation</t>
  </si>
  <si>
    <t>Return on claim proceeds</t>
  </si>
  <si>
    <t>Life expectancy</t>
  </si>
  <si>
    <t>Reqd. Insurance Cover</t>
  </si>
  <si>
    <t>YEAR END VALUE</t>
  </si>
  <si>
    <t>Blue</t>
  </si>
  <si>
    <t>Assumed return for short term (&lt;3 Yrs)</t>
  </si>
  <si>
    <t>for mid term (&gt;3  Yrs and &lt;5 Yrs)</t>
  </si>
  <si>
    <t>For long term</t>
  </si>
  <si>
    <t>10th Board Exam</t>
  </si>
  <si>
    <t>Graduation</t>
  </si>
  <si>
    <t>Post Graduation</t>
  </si>
  <si>
    <t>Marriage</t>
  </si>
  <si>
    <t>10+2 Studies</t>
  </si>
  <si>
    <t>Entrance Exam Training</t>
  </si>
  <si>
    <t>Upto Graduation</t>
  </si>
  <si>
    <t>Quick
Financial Plan</t>
  </si>
  <si>
    <t>*Please note that exemption of Long Term Capital Gain of upto Rs. 1 Lakh for Equity Fund's long-term taxation has not been considered in case of monthly withdrawals</t>
  </si>
  <si>
    <t>Client Name</t>
  </si>
  <si>
    <t>Other</t>
  </si>
  <si>
    <t>Mutual Fund Types: Equity (equity exposure &gt;= 65%), Other (equity exposure &gt;35% and &lt;65%) and Debt (equity exposure &lt;= 35%)</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</si>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</sst>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8" formatCode="&quot;₹&quot;\ #,##0.00;[Red]&quot;₹&quot;\ \-#,##0.00"/>
    <numFmt numFmtId="43" formatCode="_ * #,##0.00_ ;_ * \-#,##0.00_ ;_ * &quot;-&quot;??_ ;_ @_ "/>
    <numFmt numFmtId="164" formatCode="_ * #,##0_ ;_ * \-#,##0_ ;_ * &quot;-&quot;??_ ;_ @_ "/>
    <numFmt numFmtId="165" formatCode="dd/mmm/yyyy"/>
  </numFmts>
  <fonts count="44" x14ac:knownFonts="1">
    <font>
      <sz val="11"/>
      <color theme="1"/>
      <name val="Calibri"/>
      <family val="2"/>
    </font>
    <font>
      <sz val="11"/>
      <color theme="1"/>
      <name val="Aptos Narrow"/>
      <family val="2"/>
      <scheme val="minor"/>
    </font>
    <font>
      <sz val="12"/>
      <color theme="1"/>
      <name val="Calibri"/>
      <family val="2"/>
    </font>
    <font>
      <b/>
      <sz val="12"/>
      <color theme="0"/>
      <name val="Calibri"/>
      <family val="2"/>
    </font>
    <font>
      <u/>
      <sz val="11"/>
      <color theme="10"/>
      <name val="Calibri"/>
      <family val="2"/>
    </font>
    <font>
      <b/>
      <sz val="24"/>
      <color rgb="FF163C81"/>
      <name val="Calibri"/>
      <family val="2"/>
    </font>
    <font>
      <sz val="11"/>
      <color theme="1"/>
      <name val="Calibri"/>
      <family val="2"/>
    </font>
    <font>
      <b/>
      <sz val="11"/>
      <color theme="1"/>
      <name val="Calibri"/>
      <family val="2"/>
    </font>
    <font>
      <b/>
      <sz val="12"/>
      <color theme="1"/>
      <name val="Calibri"/>
      <family val="2"/>
    </font>
    <font>
      <b/>
      <sz val="12"/>
      <name val="Calibri"/>
      <family val="2"/>
    </font>
    <font>
      <b/>
      <sz val="12"/>
      <color rgb="FFFF0000"/>
      <name val="Calibri"/>
      <family val="2"/>
    </font>
    <font>
      <sz val="12"/>
      <color rgb="FFFF0000"/>
      <name val="Calibri"/>
      <family val="2"/>
    </font>
    <font>
      <b/>
      <sz val="11"/>
      <color theme="0"/>
      <name val="Calibri"/>
      <family val="2"/>
    </font>
    <font>
      <sz val="11"/>
      <color rgb="FFFF0000"/>
      <name val="Calibri"/>
      <family val="2"/>
    </font>
    <font>
      <b/>
      <sz val="11"/>
      <color rgb="FFFF0000"/>
      <name val="Calibri"/>
      <family val="2"/>
    </font>
    <font>
      <sz val="12"/>
      <name val="Calibri"/>
      <family val="2"/>
    </font>
    <font>
      <sz val="11"/>
      <color theme="1"/>
      <name val="Aptos Narrow"/>
      <family val="2"/>
      <scheme val="minor"/>
    </font>
    <font>
      <b/>
      <sz val="11"/>
      <name val="Calibri"/>
      <family val="2"/>
    </font>
    <font>
      <b/>
      <sz val="11"/>
      <color theme="0"/>
      <name val="Aptos Narrow"/>
      <family val="2"/>
      <scheme val="minor"/>
    </font>
    <font>
      <sz val="11"/>
      <color theme="0"/>
      <name val="Aptos Narrow"/>
      <family val="2"/>
      <scheme val="minor"/>
    </font>
    <font>
      <b/>
      <sz val="18"/>
      <name val="Calibri"/>
      <family val="2"/>
    </font>
    <font>
      <b/>
      <sz val="12"/>
      <color rgb="FF163C81"/>
      <name val="Calibri"/>
      <family val="2"/>
    </font>
    <font>
      <sz val="10"/>
      <color theme="1"/>
      <name val="Calibri"/>
      <family val="2"/>
    </font>
    <font>
      <b/>
      <sz val="14"/>
      <color theme="0"/>
      <name val="Calibri"/>
      <family val="2"/>
    </font>
    <font>
      <b/>
      <sz val="16"/>
      <color theme="0"/>
      <name val="Calibri"/>
      <family val="2"/>
    </font>
    <font>
      <b/>
      <sz val="14"/>
      <color theme="1"/>
      <name val="Calibri"/>
      <family val="2"/>
    </font>
    <font>
      <b/>
      <sz val="24"/>
      <color theme="0"/>
      <name val="Calibri"/>
      <family val="2"/>
    </font>
    <font>
      <sz val="13"/>
      <color theme="1"/>
      <name val="Calibri"/>
      <family val="2"/>
    </font>
    <font>
      <sz val="11"/>
      <name val="Calibri"/>
      <family val="2"/>
    </font>
    <font>
      <b/>
      <sz val="10.5"/>
      <name val="Calibri"/>
      <family val="2"/>
    </font>
    <font>
      <b/>
      <sz val="11"/>
      <color rgb="FF163C81"/>
      <name val="Calibri"/>
      <family val="2"/>
    </font>
    <font>
      <sz val="11"/>
      <color theme="0"/>
      <name val="Calibri"/>
      <family val="2"/>
    </font>
    <font>
      <b/>
      <sz val="16"/>
      <name val="Calibri"/>
      <family val="2"/>
    </font>
    <font>
      <sz val="14"/>
      <color theme="1"/>
      <name val="Calibri"/>
      <family val="2"/>
    </font>
    <font>
      <b/>
      <sz val="28"/>
      <color rgb="FFF4801F"/>
      <name val="Calibri"/>
      <family val="2"/>
    </font>
    <font>
      <b/>
      <sz val="18"/>
      <color rgb="FFFF0000"/>
      <name val="Calibri"/>
      <family val="2"/>
    </font>
    <font>
      <b/>
      <sz val="10"/>
      <color theme="1"/>
      <name val="Calibri"/>
      <family val="2"/>
    </font>
    <font>
      <b/>
      <sz val="14"/>
      <name val="Calibri"/>
      <family val="2"/>
    </font>
    <font>
      <sz val="12"/>
      <color theme="0"/>
      <name val="Calibri"/>
      <family val="2"/>
    </font>
    <font>
      <b/>
      <sz val="13"/>
      <color theme="1"/>
      <name val="Calibri"/>
      <family val="2"/>
    </font>
    <font>
      <sz val="12"/>
      <color rgb="FF163C81"/>
      <name val="Calibri"/>
      <family val="2"/>
    </font>
    <font>
      <b/>
      <sz val="11"/>
      <color rgb="FFFF0000"/>
      <name val="Wingdings"/>
      <charset val="2"/>
    </font>
    <font>
      <sz val="11"/>
      <color rgb="FF163C81"/>
      <name val="Calibri"/>
      <family val="2"/>
    </font>
    <font>
      <b/>
      <sz val="16"/>
      <color theme="1"/>
      <name val="Calibri"/>
      <family val="2"/>
    </font>
  </fonts>
  <fills count="17">
    <fill>
      <patternFill patternType="none"/>
    </fill>
    <fill>
      <patternFill patternType="gray125"/>
    </fill>
    <fill>
      <patternFill patternType="solid">
        <fgColor rgb="FF163C81"/>
        <bgColor indexed="64"/>
      </patternFill>
    </fill>
    <fill>
      <patternFill patternType="solid">
        <fgColor rgb="FFF4801F"/>
        <bgColor indexed="64"/>
      </patternFill>
    </fill>
    <fill>
      <patternFill patternType="solid">
        <fgColor rgb="FFFEC94D"/>
        <bgColor indexed="64"/>
      </patternFill>
    </fill>
    <fill>
      <patternFill patternType="solid">
        <fgColor theme="0"/>
        <bgColor indexed="64"/>
      </patternFill>
    </fill>
    <fill>
      <patternFill patternType="solid">
        <fgColor theme="5" tint="0.59999389629810485"/>
        <bgColor indexed="64"/>
      </patternFill>
    </fill>
    <fill>
      <patternFill patternType="solid">
        <fgColor theme="1"/>
        <bgColor indexed="64"/>
      </patternFill>
    </fill>
    <fill>
      <patternFill patternType="solid">
        <fgColor rgb="FFFF0000"/>
        <bgColor indexed="64"/>
      </patternFill>
    </fill>
    <fill>
      <patternFill patternType="solid">
        <fgColor theme="3" tint="0.89999084444715716"/>
        <bgColor indexed="64"/>
      </patternFill>
    </fill>
    <fill>
      <patternFill patternType="solid">
        <fgColor theme="1" tint="4.9989318521683403E-2"/>
        <bgColor indexed="64"/>
      </patternFill>
    </fill>
    <fill>
      <patternFill patternType="solid">
        <fgColor rgb="FFE0E0E0"/>
        <bgColor indexed="64"/>
      </patternFill>
    </fill>
    <fill>
      <patternFill patternType="solid">
        <fgColor rgb="FFFCD3B2"/>
        <bgColor indexed="64"/>
      </patternFill>
    </fill>
    <fill>
      <patternFill patternType="solid">
        <fgColor rgb="FFED3338"/>
        <bgColor indexed="64"/>
      </patternFill>
    </fill>
    <fill>
      <patternFill patternType="solid">
        <fgColor theme="0" tint="-4.9989318521683403E-2"/>
        <bgColor indexed="64"/>
      </patternFill>
    </fill>
    <fill>
      <patternFill patternType="solid">
        <fgColor theme="5"/>
        <bgColor indexed="64"/>
      </patternFill>
    </fill>
    <fill>
      <patternFill patternType="solid">
        <fgColor rgb="FFF7A25B"/>
        <bgColor indexed="64"/>
      </patternFill>
    </fill>
  </fills>
  <borders count="201">
    <border>
      <left/>
      <right/>
      <top/>
      <bottom/>
      <diagonal/>
    </border>
    <border>
      <left/>
      <right/>
      <top/>
      <bottom style="thin">
        <color theme="2" tint="-0.89996032593768116"/>
      </bottom>
      <diagonal/>
    </border>
    <border>
      <left/>
      <right/>
      <top style="thin">
        <color rgb="FF163C81"/>
      </top>
      <bottom/>
      <diagonal/>
    </border>
    <border>
      <left/>
      <right style="thin">
        <color rgb="FF163C81"/>
      </right>
      <top style="thin">
        <color rgb="FF163C81"/>
      </top>
      <bottom/>
      <diagonal/>
    </border>
    <border>
      <left/>
      <right/>
      <top/>
      <bottom style="thin">
        <color rgb="FF163C81"/>
      </bottom>
      <diagonal/>
    </border>
    <border>
      <left/>
      <right style="thin">
        <color rgb="FF163C81"/>
      </right>
      <top/>
      <bottom style="thin">
        <color rgb="FF163C81"/>
      </bottom>
      <diagonal/>
    </border>
    <border>
      <left style="thin">
        <color rgb="FF163C81"/>
      </left>
      <right/>
      <top style="thin">
        <color rgb="FF163C81"/>
      </top>
      <bottom style="thin">
        <color rgb="FF163C81"/>
      </bottom>
      <diagonal/>
    </border>
    <border>
      <left/>
      <right/>
      <top style="thin">
        <color rgb="FF163C81"/>
      </top>
      <bottom style="thin">
        <color rgb="FF163C81"/>
      </bottom>
      <diagonal/>
    </border>
    <border>
      <left/>
      <right style="thin">
        <color rgb="FF163C81"/>
      </right>
      <top style="thin">
        <color rgb="FF163C81"/>
      </top>
      <bottom style="thin">
        <color rgb="FF163C81"/>
      </bottom>
      <diagonal/>
    </border>
    <border>
      <left/>
      <right/>
      <top style="thin">
        <color rgb="FF163C81"/>
      </top>
      <bottom style="thin">
        <color theme="0"/>
      </bottom>
      <diagonal/>
    </border>
    <border>
      <left/>
      <right style="thin">
        <color rgb="FF163C81"/>
      </right>
      <top style="thin">
        <color rgb="FF163C81"/>
      </top>
      <bottom style="thin">
        <color theme="0"/>
      </bottom>
      <diagonal/>
    </border>
    <border>
      <left/>
      <right/>
      <top style="thin">
        <color theme="0"/>
      </top>
      <bottom style="thin">
        <color rgb="FF163C81"/>
      </bottom>
      <diagonal/>
    </border>
    <border>
      <left/>
      <right style="thin">
        <color rgb="FF163C81"/>
      </right>
      <top style="thin">
        <color theme="0"/>
      </top>
      <bottom style="thin">
        <color rgb="FF163C81"/>
      </bottom>
      <diagonal/>
    </border>
    <border>
      <left style="thin">
        <color indexed="64"/>
      </left>
      <right style="thin">
        <color indexed="64"/>
      </right>
      <top style="thin">
        <color indexed="64"/>
      </top>
      <bottom style="thin">
        <color indexed="64"/>
      </bottom>
      <diagonal/>
    </border>
    <border>
      <left style="thin">
        <color rgb="FF163C81"/>
      </left>
      <right style="thin">
        <color rgb="FF163C81"/>
      </right>
      <top style="thin">
        <color rgb="FF163C81"/>
      </top>
      <bottom style="thin">
        <color rgb="FF163C81"/>
      </bottom>
      <diagonal/>
    </border>
    <border>
      <left style="thin">
        <color rgb="FF163C81"/>
      </left>
      <right/>
      <top style="thin">
        <color rgb="FF163C81"/>
      </top>
      <bottom/>
      <diagonal/>
    </border>
    <border>
      <left style="thin">
        <color rgb="FF163C81"/>
      </left>
      <right/>
      <top style="thin">
        <color theme="0"/>
      </top>
      <bottom style="thin">
        <color rgb="FF163C81"/>
      </bottom>
      <diagonal/>
    </border>
    <border>
      <left style="thin">
        <color rgb="FF163C81"/>
      </left>
      <right/>
      <top/>
      <bottom/>
      <diagonal/>
    </border>
    <border>
      <left/>
      <right style="thin">
        <color rgb="FF163C81"/>
      </right>
      <top/>
      <bottom/>
      <diagonal/>
    </border>
    <border>
      <left style="thin">
        <color rgb="FF163C81"/>
      </left>
      <right style="thin">
        <color rgb="FF163C81"/>
      </right>
      <top style="thin">
        <color rgb="FF163C81"/>
      </top>
      <bottom/>
      <diagonal/>
    </border>
    <border>
      <left style="thin">
        <color rgb="FF163C81"/>
      </left>
      <right style="thin">
        <color rgb="FF163C81"/>
      </right>
      <top/>
      <bottom style="thin">
        <color rgb="FF163C81"/>
      </bottom>
      <diagonal/>
    </border>
    <border>
      <left/>
      <right style="thin">
        <color indexed="64"/>
      </right>
      <top/>
      <bottom/>
      <diagonal/>
    </border>
    <border>
      <left style="thin">
        <color rgb="FF163C81"/>
      </left>
      <right style="thin">
        <color rgb="FF163C81"/>
      </right>
      <top style="thin">
        <color rgb="FF163C81"/>
      </top>
      <bottom style="thin">
        <color theme="0"/>
      </bottom>
      <diagonal/>
    </border>
    <border>
      <left style="thin">
        <color rgb="FF163C81"/>
      </left>
      <right style="thin">
        <color rgb="FF163C81"/>
      </right>
      <top style="thin">
        <color theme="0"/>
      </top>
      <bottom style="thin">
        <color rgb="FF163C81"/>
      </bottom>
      <diagonal/>
    </border>
    <border>
      <left style="thin">
        <color rgb="FF163C81"/>
      </left>
      <right style="thin">
        <color rgb="FF163C81"/>
      </right>
      <top style="thin">
        <color theme="0"/>
      </top>
      <bottom style="thin">
        <color theme="0"/>
      </bottom>
      <diagonal/>
    </border>
    <border>
      <left style="thin">
        <color rgb="FF163C81"/>
      </left>
      <right style="thin">
        <color rgb="FF163C81"/>
      </right>
      <top/>
      <bottom/>
      <diagonal/>
    </border>
    <border>
      <left style="thin">
        <color rgb="FF163C81"/>
      </left>
      <right/>
      <top/>
      <bottom style="thin">
        <color rgb="FF163C81"/>
      </bottom>
      <diagonal/>
    </border>
    <border>
      <left style="thin">
        <color rgb="FF163C81"/>
      </left>
      <right style="thin">
        <color theme="0"/>
      </right>
      <top style="thin">
        <color rgb="FF163C81"/>
      </top>
      <bottom style="thin">
        <color rgb="FF163C81"/>
      </bottom>
      <diagonal/>
    </border>
    <border>
      <left style="thin">
        <color theme="0"/>
      </left>
      <right style="thin">
        <color theme="0"/>
      </right>
      <top style="thin">
        <color rgb="FF163C81"/>
      </top>
      <bottom style="thin">
        <color rgb="FF163C81"/>
      </bottom>
      <diagonal/>
    </border>
    <border>
      <left style="thin">
        <color theme="0"/>
      </left>
      <right style="thin">
        <color rgb="FF163C81"/>
      </right>
      <top style="thin">
        <color rgb="FF163C81"/>
      </top>
      <bottom style="thin">
        <color rgb="FF163C81"/>
      </bottom>
      <diagonal/>
    </border>
    <border>
      <left style="thin">
        <color rgb="FF163C81"/>
      </left>
      <right/>
      <top style="thin">
        <color rgb="FF163C81"/>
      </top>
      <bottom style="thin">
        <color theme="0"/>
      </bottom>
      <diagonal/>
    </border>
    <border>
      <left/>
      <right style="thin">
        <color theme="0"/>
      </right>
      <top style="thin">
        <color rgb="FF163C81"/>
      </top>
      <bottom/>
      <diagonal/>
    </border>
    <border>
      <left style="thin">
        <color theme="0"/>
      </left>
      <right style="thin">
        <color theme="0"/>
      </right>
      <top style="thin">
        <color rgb="FF163C81"/>
      </top>
      <bottom/>
      <diagonal/>
    </border>
    <border>
      <left/>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0"/>
      </bottom>
      <diagonal/>
    </border>
    <border>
      <left/>
      <right/>
      <top style="thin">
        <color theme="0"/>
      </top>
      <bottom style="thin">
        <color theme="0"/>
      </bottom>
      <diagonal/>
    </border>
    <border>
      <left/>
      <right style="thin">
        <color rgb="FF163C81"/>
      </right>
      <top/>
      <bottom style="thin">
        <color theme="0"/>
      </bottom>
      <diagonal/>
    </border>
    <border>
      <left/>
      <right style="thin">
        <color rgb="FF163C81"/>
      </right>
      <top style="thin">
        <color theme="0"/>
      </top>
      <bottom style="thin">
        <color theme="0"/>
      </bottom>
      <diagonal/>
    </border>
    <border>
      <left style="thin">
        <color theme="0"/>
      </left>
      <right style="thin">
        <color theme="0"/>
      </right>
      <top style="thin">
        <color rgb="FF163C81"/>
      </top>
      <bottom style="thin">
        <color theme="0"/>
      </bottom>
      <diagonal/>
    </border>
    <border>
      <left style="thin">
        <color rgb="FF163C81"/>
      </left>
      <right style="thin">
        <color theme="0"/>
      </right>
      <top/>
      <bottom style="thin">
        <color rgb="FF163C81"/>
      </bottom>
      <diagonal/>
    </border>
    <border>
      <left style="thin">
        <color theme="0"/>
      </left>
      <right style="thin">
        <color theme="0"/>
      </right>
      <top/>
      <bottom style="thin">
        <color rgb="FF163C81"/>
      </bottom>
      <diagonal/>
    </border>
    <border>
      <left style="thin">
        <color theme="0"/>
      </left>
      <right style="thin">
        <color rgb="FF163C81"/>
      </right>
      <top/>
      <bottom style="thin">
        <color rgb="FF163C81"/>
      </bottom>
      <diagonal/>
    </border>
    <border>
      <left style="thin">
        <color rgb="FF163C81"/>
      </left>
      <right style="thin">
        <color theme="0"/>
      </right>
      <top style="thin">
        <color rgb="FF163C81"/>
      </top>
      <bottom style="thin">
        <color theme="0"/>
      </bottom>
      <diagonal/>
    </border>
    <border>
      <left style="thin">
        <color theme="0"/>
      </left>
      <right style="thin">
        <color rgb="FF163C81"/>
      </right>
      <top style="thin">
        <color rgb="FF163C81"/>
      </top>
      <bottom style="thin">
        <color theme="0"/>
      </bottom>
      <diagonal/>
    </border>
    <border>
      <left style="thin">
        <color rgb="FF163C81"/>
      </left>
      <right style="thin">
        <color theme="0"/>
      </right>
      <top style="thin">
        <color theme="0"/>
      </top>
      <bottom style="thin">
        <color rgb="FF163C81"/>
      </bottom>
      <diagonal/>
    </border>
    <border>
      <left style="thin">
        <color theme="0"/>
      </left>
      <right style="thin">
        <color theme="0"/>
      </right>
      <top style="thin">
        <color theme="0"/>
      </top>
      <bottom style="thin">
        <color rgb="FF163C81"/>
      </bottom>
      <diagonal/>
    </border>
    <border>
      <left style="thin">
        <color theme="0"/>
      </left>
      <right style="thin">
        <color rgb="FF163C81"/>
      </right>
      <top style="thin">
        <color theme="0"/>
      </top>
      <bottom style="thin">
        <color rgb="FF163C81"/>
      </bottom>
      <diagonal/>
    </border>
    <border>
      <left style="thin">
        <color rgb="FF163C81"/>
      </left>
      <right style="thin">
        <color theme="0"/>
      </right>
      <top style="thin">
        <color rgb="FF163C81"/>
      </top>
      <bottom/>
      <diagonal/>
    </border>
    <border>
      <left style="thin">
        <color theme="0"/>
      </left>
      <right style="thin">
        <color rgb="FF163C81"/>
      </right>
      <top style="thin">
        <color rgb="FF163C81"/>
      </top>
      <bottom/>
      <diagonal/>
    </border>
    <border>
      <left style="thin">
        <color theme="0"/>
      </left>
      <right style="thin">
        <color theme="0"/>
      </right>
      <top/>
      <bottom/>
      <diagonal/>
    </border>
    <border>
      <left style="thin">
        <color theme="0"/>
      </left>
      <right style="thin">
        <color rgb="FF163C81"/>
      </right>
      <top/>
      <bottom/>
      <diagonal/>
    </border>
    <border>
      <left style="thick">
        <color rgb="FFF4801F"/>
      </left>
      <right style="thick">
        <color rgb="FFF4801F"/>
      </right>
      <top/>
      <bottom style="thin">
        <color rgb="FF163C81"/>
      </bottom>
      <diagonal/>
    </border>
    <border>
      <left style="thin">
        <color rgb="FF163C81"/>
      </left>
      <right style="thick">
        <color rgb="FFF4801F"/>
      </right>
      <top style="thin">
        <color rgb="FF163C81"/>
      </top>
      <bottom style="thin">
        <color rgb="FF163C81"/>
      </bottom>
      <diagonal/>
    </border>
    <border>
      <left style="thick">
        <color rgb="FFF4801F"/>
      </left>
      <right style="thick">
        <color rgb="FFF4801F"/>
      </right>
      <top style="thin">
        <color rgb="FF163C81"/>
      </top>
      <bottom style="thin">
        <color rgb="FF163C81"/>
      </bottom>
      <diagonal/>
    </border>
    <border>
      <left style="thick">
        <color rgb="FFF4801F"/>
      </left>
      <right style="thin">
        <color rgb="FF163C81"/>
      </right>
      <top style="thin">
        <color rgb="FF163C81"/>
      </top>
      <bottom style="thin">
        <color rgb="FF163C81"/>
      </bottom>
      <diagonal/>
    </border>
    <border>
      <left style="thick">
        <color rgb="FFF4801F"/>
      </left>
      <right style="thick">
        <color rgb="FFF4801F"/>
      </right>
      <top style="thin">
        <color rgb="FF163C81"/>
      </top>
      <bottom style="thick">
        <color rgb="FFF4801F"/>
      </bottom>
      <diagonal/>
    </border>
    <border>
      <left style="thin">
        <color rgb="FF163C81"/>
      </left>
      <right/>
      <top style="thin">
        <color rgb="FF163C81"/>
      </top>
      <bottom style="thick">
        <color rgb="FFF4801F"/>
      </bottom>
      <diagonal/>
    </border>
    <border>
      <left/>
      <right style="thin">
        <color rgb="FF163C81"/>
      </right>
      <top style="thin">
        <color rgb="FF163C81"/>
      </top>
      <bottom style="thick">
        <color rgb="FFF4801F"/>
      </bottom>
      <diagonal/>
    </border>
    <border>
      <left style="thick">
        <color rgb="FFF4801F"/>
      </left>
      <right/>
      <top style="thin">
        <color rgb="FF163C81"/>
      </top>
      <bottom style="thin">
        <color rgb="FF163C81"/>
      </bottom>
      <diagonal/>
    </border>
    <border>
      <left style="thick">
        <color rgb="FFF4801F"/>
      </left>
      <right/>
      <top style="thin">
        <color rgb="FF163C81"/>
      </top>
      <bottom style="thick">
        <color rgb="FFF4801F"/>
      </bottom>
      <diagonal/>
    </border>
    <border>
      <left/>
      <right style="thick">
        <color rgb="FFF4801F"/>
      </right>
      <top/>
      <bottom style="thin">
        <color rgb="FF163C81"/>
      </bottom>
      <diagonal/>
    </border>
    <border>
      <left/>
      <right style="thick">
        <color rgb="FFF4801F"/>
      </right>
      <top style="thin">
        <color rgb="FF163C81"/>
      </top>
      <bottom style="thin">
        <color rgb="FF163C81"/>
      </bottom>
      <diagonal/>
    </border>
    <border>
      <left/>
      <right style="thick">
        <color rgb="FFF4801F"/>
      </right>
      <top style="thin">
        <color rgb="FF163C81"/>
      </top>
      <bottom style="thick">
        <color rgb="FFF4801F"/>
      </bottom>
      <diagonal/>
    </border>
    <border>
      <left style="thick">
        <color rgb="FFF4801F"/>
      </left>
      <right style="thin">
        <color theme="0"/>
      </right>
      <top/>
      <bottom/>
      <diagonal/>
    </border>
    <border>
      <left style="thin">
        <color theme="0"/>
      </left>
      <right style="thick">
        <color theme="0"/>
      </right>
      <top/>
      <bottom/>
      <diagonal/>
    </border>
    <border>
      <left style="thick">
        <color theme="0"/>
      </left>
      <right style="thin">
        <color theme="0"/>
      </right>
      <top/>
      <bottom/>
      <diagonal/>
    </border>
    <border>
      <left style="thin">
        <color theme="0"/>
      </left>
      <right style="thick">
        <color rgb="FFF4801F"/>
      </right>
      <top/>
      <bottom/>
      <diagonal/>
    </border>
    <border>
      <left style="thick">
        <color rgb="FFF4801F"/>
      </left>
      <right/>
      <top style="thick">
        <color rgb="FFF4801F"/>
      </top>
      <bottom/>
      <diagonal/>
    </border>
    <border>
      <left/>
      <right/>
      <top style="thick">
        <color rgb="FFF4801F"/>
      </top>
      <bottom/>
      <diagonal/>
    </border>
    <border>
      <left/>
      <right style="thick">
        <color rgb="FFF4801F"/>
      </right>
      <top style="thick">
        <color rgb="FFF4801F"/>
      </top>
      <bottom/>
      <diagonal/>
    </border>
    <border>
      <left/>
      <right/>
      <top style="thick">
        <color rgb="FFF4801F"/>
      </top>
      <bottom style="thin">
        <color rgb="FF163C81"/>
      </bottom>
      <diagonal/>
    </border>
    <border>
      <left style="thin">
        <color theme="0"/>
      </left>
      <right/>
      <top/>
      <bottom/>
      <diagonal/>
    </border>
    <border>
      <left/>
      <right style="thin">
        <color theme="0"/>
      </right>
      <top/>
      <bottom/>
      <diagonal/>
    </border>
    <border>
      <left/>
      <right/>
      <top style="thin">
        <color rgb="FF163C81"/>
      </top>
      <bottom style="thick">
        <color rgb="FFF4801F"/>
      </bottom>
      <diagonal/>
    </border>
    <border>
      <left style="thick">
        <color theme="0"/>
      </left>
      <right style="thick">
        <color theme="0"/>
      </right>
      <top/>
      <bottom/>
      <diagonal/>
    </border>
    <border>
      <left style="thick">
        <color rgb="FFF4801F"/>
      </left>
      <right style="thick">
        <color theme="0"/>
      </right>
      <top style="thick">
        <color rgb="FFF4801F"/>
      </top>
      <bottom/>
      <diagonal/>
    </border>
    <border>
      <left style="thick">
        <color theme="0"/>
      </left>
      <right style="thick">
        <color theme="0"/>
      </right>
      <top style="thick">
        <color rgb="FFF4801F"/>
      </top>
      <bottom/>
      <diagonal/>
    </border>
    <border>
      <left style="thick">
        <color theme="0"/>
      </left>
      <right/>
      <top style="thick">
        <color rgb="FFF4801F"/>
      </top>
      <bottom/>
      <diagonal/>
    </border>
    <border>
      <left style="thick">
        <color rgb="FFF4801F"/>
      </left>
      <right style="thin">
        <color theme="0"/>
      </right>
      <top style="thin">
        <color rgb="FF163C81"/>
      </top>
      <bottom style="thick">
        <color rgb="FFF4801F"/>
      </bottom>
      <diagonal/>
    </border>
    <border>
      <left style="thin">
        <color theme="0"/>
      </left>
      <right style="thin">
        <color theme="0"/>
      </right>
      <top style="thin">
        <color rgb="FF163C81"/>
      </top>
      <bottom style="thick">
        <color rgb="FFF4801F"/>
      </bottom>
      <diagonal/>
    </border>
    <border>
      <left style="thin">
        <color theme="0"/>
      </left>
      <right style="thick">
        <color rgb="FFF4801F"/>
      </right>
      <top style="thin">
        <color rgb="FF163C81"/>
      </top>
      <bottom style="thick">
        <color rgb="FFF4801F"/>
      </bottom>
      <diagonal/>
    </border>
    <border>
      <left style="thin">
        <color theme="0"/>
      </left>
      <right/>
      <top style="thin">
        <color rgb="FF163C81"/>
      </top>
      <bottom style="thick">
        <color rgb="FFF4801F"/>
      </bottom>
      <diagonal/>
    </border>
    <border>
      <left/>
      <right style="thin">
        <color theme="0"/>
      </right>
      <top style="thin">
        <color rgb="FF163C81"/>
      </top>
      <bottom style="thick">
        <color rgb="FFF4801F"/>
      </bottom>
      <diagonal/>
    </border>
    <border>
      <left style="thick">
        <color theme="0"/>
      </left>
      <right style="thick">
        <color theme="0"/>
      </right>
      <top style="thin">
        <color rgb="FF163C81"/>
      </top>
      <bottom style="thick">
        <color rgb="FFF4801F"/>
      </bottom>
      <diagonal/>
    </border>
    <border>
      <left style="thin">
        <color theme="0"/>
      </left>
      <right style="thick">
        <color theme="0"/>
      </right>
      <top style="thin">
        <color rgb="FF163C81"/>
      </top>
      <bottom style="thick">
        <color rgb="FFF4801F"/>
      </bottom>
      <diagonal/>
    </border>
    <border>
      <left style="thick">
        <color theme="0"/>
      </left>
      <right style="thin">
        <color theme="0"/>
      </right>
      <top style="thin">
        <color rgb="FF163C81"/>
      </top>
      <bottom style="thick">
        <color rgb="FFF4801F"/>
      </bottom>
      <diagonal/>
    </border>
    <border>
      <left style="thin">
        <color theme="0"/>
      </left>
      <right style="thin">
        <color theme="0"/>
      </right>
      <top style="thin">
        <color theme="0"/>
      </top>
      <bottom/>
      <diagonal/>
    </border>
    <border>
      <left style="thick">
        <color rgb="FFF4801F"/>
      </left>
      <right style="thin">
        <color theme="0"/>
      </right>
      <top style="thin">
        <color theme="0"/>
      </top>
      <bottom style="thin">
        <color theme="0"/>
      </bottom>
      <diagonal/>
    </border>
    <border>
      <left style="thick">
        <color rgb="FFF4801F"/>
      </left>
      <right style="thin">
        <color theme="0"/>
      </right>
      <top style="thin">
        <color theme="0"/>
      </top>
      <bottom style="thin">
        <color rgb="FF163C81"/>
      </bottom>
      <diagonal/>
    </border>
    <border>
      <left/>
      <right style="thick">
        <color rgb="FFF4801F"/>
      </right>
      <top style="thick">
        <color rgb="FFF4801F"/>
      </top>
      <bottom style="thin">
        <color rgb="FF163C81"/>
      </bottom>
      <diagonal/>
    </border>
    <border>
      <left style="thick">
        <color rgb="FFF4801F"/>
      </left>
      <right/>
      <top style="thick">
        <color rgb="FFF4801F"/>
      </top>
      <bottom style="thin">
        <color rgb="FF163C81"/>
      </bottom>
      <diagonal/>
    </border>
    <border>
      <left style="thick">
        <color rgb="FFF4801F"/>
      </left>
      <right style="thick">
        <color rgb="FFF4801F"/>
      </right>
      <top style="thick">
        <color rgb="FFF4801F"/>
      </top>
      <bottom style="thin">
        <color rgb="FF163C81"/>
      </bottom>
      <diagonal/>
    </border>
    <border>
      <left/>
      <right style="thick">
        <color rgb="FFF4801F"/>
      </right>
      <top style="thin">
        <color auto="1"/>
      </top>
      <bottom style="thin">
        <color auto="1"/>
      </bottom>
      <diagonal/>
    </border>
    <border>
      <left/>
      <right/>
      <top style="thin">
        <color indexed="64"/>
      </top>
      <bottom style="thin">
        <color rgb="FF163C81"/>
      </bottom>
      <diagonal/>
    </border>
    <border>
      <left/>
      <right style="thick">
        <color rgb="FFF4801F"/>
      </right>
      <top style="thin">
        <color indexed="64"/>
      </top>
      <bottom style="thin">
        <color rgb="FF163C81"/>
      </bottom>
      <diagonal/>
    </border>
    <border>
      <left/>
      <right/>
      <top style="thin">
        <color rgb="FF163C81"/>
      </top>
      <bottom style="thin">
        <color auto="1"/>
      </bottom>
      <diagonal/>
    </border>
    <border>
      <left/>
      <right style="thick">
        <color rgb="FFF4801F"/>
      </right>
      <top style="thin">
        <color rgb="FF163C81"/>
      </top>
      <bottom style="thin">
        <color auto="1"/>
      </bottom>
      <diagonal/>
    </border>
    <border>
      <left style="thin">
        <color theme="0"/>
      </left>
      <right/>
      <top style="thin">
        <color rgb="FF163C81"/>
      </top>
      <bottom style="thin">
        <color rgb="FF163C81"/>
      </bottom>
      <diagonal/>
    </border>
    <border>
      <left style="thin">
        <color rgb="FF163C81"/>
      </left>
      <right style="thin">
        <color theme="0"/>
      </right>
      <top/>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ck">
        <color rgb="FF163C81"/>
      </left>
      <right/>
      <top style="thick">
        <color rgb="FF163C81"/>
      </top>
      <bottom style="thin">
        <color rgb="FF163C81"/>
      </bottom>
      <diagonal/>
    </border>
    <border>
      <left/>
      <right/>
      <top style="thick">
        <color rgb="FF163C81"/>
      </top>
      <bottom style="thin">
        <color rgb="FF163C81"/>
      </bottom>
      <diagonal/>
    </border>
    <border>
      <left/>
      <right style="thick">
        <color rgb="FF163C81"/>
      </right>
      <top style="thick">
        <color rgb="FF163C81"/>
      </top>
      <bottom style="thin">
        <color rgb="FF163C81"/>
      </bottom>
      <diagonal/>
    </border>
    <border>
      <left style="thick">
        <color rgb="FF163C81"/>
      </left>
      <right/>
      <top style="thin">
        <color rgb="FF163C81"/>
      </top>
      <bottom style="thin">
        <color rgb="FF163C81"/>
      </bottom>
      <diagonal/>
    </border>
    <border>
      <left/>
      <right style="thick">
        <color rgb="FF163C81"/>
      </right>
      <top style="thin">
        <color rgb="FF163C81"/>
      </top>
      <bottom style="thin">
        <color rgb="FF163C81"/>
      </bottom>
      <diagonal/>
    </border>
    <border>
      <left/>
      <right style="thick">
        <color rgb="FF163C81"/>
      </right>
      <top/>
      <bottom/>
      <diagonal/>
    </border>
    <border>
      <left style="thick">
        <color rgb="FF163C81"/>
      </left>
      <right/>
      <top style="thin">
        <color rgb="FF163C81"/>
      </top>
      <bottom style="thick">
        <color rgb="FF163C81"/>
      </bottom>
      <diagonal/>
    </border>
    <border>
      <left/>
      <right/>
      <top style="thin">
        <color rgb="FF163C81"/>
      </top>
      <bottom style="thick">
        <color rgb="FF163C81"/>
      </bottom>
      <diagonal/>
    </border>
    <border>
      <left/>
      <right style="thin">
        <color theme="0"/>
      </right>
      <top style="thin">
        <color rgb="FF163C81"/>
      </top>
      <bottom style="thick">
        <color rgb="FF163C81"/>
      </bottom>
      <diagonal/>
    </border>
    <border>
      <left/>
      <right/>
      <top style="thin">
        <color theme="0"/>
      </top>
      <bottom style="thick">
        <color rgb="FF163C81"/>
      </bottom>
      <diagonal/>
    </border>
    <border>
      <left/>
      <right style="thick">
        <color rgb="FF163C81"/>
      </right>
      <top style="thin">
        <color theme="0"/>
      </top>
      <bottom style="thick">
        <color rgb="FF163C81"/>
      </bottom>
      <diagonal/>
    </border>
    <border>
      <left/>
      <right style="thick">
        <color rgb="FF163C81"/>
      </right>
      <top/>
      <bottom style="thin">
        <color theme="0"/>
      </bottom>
      <diagonal/>
    </border>
    <border>
      <left/>
      <right/>
      <top/>
      <bottom style="thick">
        <color rgb="FF163C81"/>
      </bottom>
      <diagonal/>
    </border>
    <border>
      <left/>
      <right style="thick">
        <color rgb="FF163C81"/>
      </right>
      <top/>
      <bottom style="thick">
        <color rgb="FF163C81"/>
      </bottom>
      <diagonal/>
    </border>
    <border>
      <left style="thick">
        <color rgb="FF163C81"/>
      </left>
      <right/>
      <top/>
      <bottom style="thin">
        <color rgb="FF163C81"/>
      </bottom>
      <diagonal/>
    </border>
    <border>
      <left/>
      <right/>
      <top/>
      <bottom style="thin">
        <color auto="1"/>
      </bottom>
      <diagonal/>
    </border>
    <border>
      <left/>
      <right style="thin">
        <color theme="0"/>
      </right>
      <top style="thin">
        <color rgb="FF163C81"/>
      </top>
      <bottom style="thin">
        <color theme="0"/>
      </bottom>
      <diagonal/>
    </border>
    <border>
      <left/>
      <right style="thin">
        <color theme="0"/>
      </right>
      <top style="thin">
        <color theme="0"/>
      </top>
      <bottom style="thin">
        <color rgb="FF163C81"/>
      </bottom>
      <diagonal/>
    </border>
    <border>
      <left/>
      <right style="thick">
        <color rgb="FF163C81"/>
      </right>
      <top style="thin">
        <color rgb="FF163C81"/>
      </top>
      <bottom style="thick">
        <color rgb="FF163C81"/>
      </bottom>
      <diagonal/>
    </border>
    <border>
      <left style="thick">
        <color rgb="FF163C81"/>
      </left>
      <right/>
      <top/>
      <bottom/>
      <diagonal/>
    </border>
    <border>
      <left style="thick">
        <color rgb="FF163C81"/>
      </left>
      <right/>
      <top style="thick">
        <color theme="0"/>
      </top>
      <bottom style="thick">
        <color rgb="FF163C81"/>
      </bottom>
      <diagonal/>
    </border>
    <border>
      <left/>
      <right/>
      <top style="thick">
        <color theme="0"/>
      </top>
      <bottom style="thick">
        <color rgb="FF163C81"/>
      </bottom>
      <diagonal/>
    </border>
    <border>
      <left/>
      <right style="thick">
        <color rgb="FF163C81"/>
      </right>
      <top style="thick">
        <color theme="0"/>
      </top>
      <bottom style="thick">
        <color rgb="FF163C81"/>
      </bottom>
      <diagonal/>
    </border>
    <border>
      <left/>
      <right style="thin">
        <color theme="0"/>
      </right>
      <top style="thin">
        <color indexed="64"/>
      </top>
      <bottom style="thin">
        <color indexed="64"/>
      </bottom>
      <diagonal/>
    </border>
    <border>
      <left style="thin">
        <color rgb="FFCC620A"/>
      </left>
      <right/>
      <top/>
      <bottom/>
      <diagonal/>
    </border>
    <border>
      <left/>
      <right style="thin">
        <color rgb="FFCC620A"/>
      </right>
      <top/>
      <bottom/>
      <diagonal/>
    </border>
    <border>
      <left style="thin">
        <color rgb="FF163C81"/>
      </left>
      <right/>
      <top style="thin">
        <color rgb="FFCC620A"/>
      </top>
      <bottom style="thin">
        <color rgb="FF163C81"/>
      </bottom>
      <diagonal/>
    </border>
    <border>
      <left/>
      <right/>
      <top style="thin">
        <color rgb="FFCC620A"/>
      </top>
      <bottom style="thin">
        <color rgb="FF163C81"/>
      </bottom>
      <diagonal/>
    </border>
    <border>
      <left/>
      <right style="thin">
        <color rgb="FF163C81"/>
      </right>
      <top style="thin">
        <color rgb="FFCC620A"/>
      </top>
      <bottom style="thin">
        <color rgb="FF163C8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
      <left style="thin">
        <color rgb="FF163C81"/>
      </left>
      <right/>
      <top style="thin">
        <color theme="0"/>
      </top>
      <bottom style="thin">
        <color theme="0"/>
      </bottom>
      <diagonal/>
    </border>
    <border>
      <left/>
      <right style="thin">
        <color theme="0"/>
      </right>
      <top style="thin">
        <color rgb="FF163C81"/>
      </top>
      <bottom style="thin">
        <color rgb="FF163C81"/>
      </bottom>
      <diagonal/>
    </border>
    <border>
      <left style="thin">
        <color rgb="FF163C81"/>
      </left>
      <right/>
      <top style="thick">
        <color rgb="FFF4801F"/>
      </top>
      <bottom style="thin">
        <color rgb="FF163C81"/>
      </bottom>
      <diagonal/>
    </border>
    <border>
      <left/>
      <right style="thin">
        <color rgb="FF163C81"/>
      </right>
      <top style="thick">
        <color rgb="FFF4801F"/>
      </top>
      <bottom style="thin">
        <color rgb="FF163C81"/>
      </bottom>
      <diagonal/>
    </border>
    <border>
      <left style="thick">
        <color rgb="FFF4801F"/>
      </left>
      <right/>
      <top/>
      <bottom style="thin">
        <color rgb="FF163C81"/>
      </bottom>
      <diagonal/>
    </border>
    <border>
      <left style="thick">
        <color indexed="64"/>
      </left>
      <right/>
      <top style="thin">
        <color indexed="64"/>
      </top>
      <bottom style="thin">
        <color indexed="64"/>
      </bottom>
      <diagonal/>
    </border>
    <border>
      <left style="thin">
        <color theme="0"/>
      </left>
      <right style="thick">
        <color rgb="FF163C81"/>
      </right>
      <top style="thin">
        <color indexed="64"/>
      </top>
      <bottom style="thin">
        <color indexed="64"/>
      </bottom>
      <diagonal/>
    </border>
    <border>
      <left style="thin">
        <color indexed="64"/>
      </left>
      <right style="thin">
        <color theme="0"/>
      </right>
      <top style="thin">
        <color indexed="64"/>
      </top>
      <bottom/>
      <diagonal/>
    </border>
    <border>
      <left style="thin">
        <color theme="0"/>
      </left>
      <right/>
      <top style="thin">
        <color indexed="64"/>
      </top>
      <bottom/>
      <diagonal/>
    </border>
    <border>
      <left/>
      <right style="thin">
        <color theme="0"/>
      </right>
      <top style="thin">
        <color indexed="64"/>
      </top>
      <bottom/>
      <diagonal/>
    </border>
    <border>
      <left style="thin">
        <color rgb="FF163C81"/>
      </left>
      <right/>
      <top/>
      <bottom style="thin">
        <color theme="0"/>
      </bottom>
      <diagonal/>
    </border>
    <border>
      <left style="thin">
        <color theme="0"/>
      </left>
      <right/>
      <top style="thin">
        <color indexed="64"/>
      </top>
      <bottom style="thin">
        <color indexed="64"/>
      </bottom>
      <diagonal/>
    </border>
    <border>
      <left style="thin">
        <color theme="0"/>
      </left>
      <right/>
      <top style="thin">
        <color theme="1"/>
      </top>
      <bottom style="thin">
        <color indexed="64"/>
      </bottom>
      <diagonal/>
    </border>
    <border>
      <left/>
      <right/>
      <top style="thin">
        <color theme="1"/>
      </top>
      <bottom style="thin">
        <color indexed="64"/>
      </bottom>
      <diagonal/>
    </border>
    <border>
      <left/>
      <right style="thin">
        <color indexed="64"/>
      </right>
      <top style="thin">
        <color theme="1"/>
      </top>
      <bottom style="thin">
        <color indexed="64"/>
      </bottom>
      <diagonal/>
    </border>
    <border>
      <left style="thick">
        <color rgb="FF163C81"/>
      </left>
      <right/>
      <top style="thick">
        <color rgb="FF163C81"/>
      </top>
      <bottom style="thick">
        <color rgb="FF163C81"/>
      </bottom>
      <diagonal/>
    </border>
    <border>
      <left/>
      <right/>
      <top style="thick">
        <color rgb="FF163C81"/>
      </top>
      <bottom style="thick">
        <color rgb="FF163C81"/>
      </bottom>
      <diagonal/>
    </border>
    <border>
      <left/>
      <right style="thick">
        <color rgb="FF163C81"/>
      </right>
      <top style="thick">
        <color rgb="FF163C81"/>
      </top>
      <bottom style="thick">
        <color rgb="FF163C81"/>
      </bottom>
      <diagonal/>
    </border>
    <border>
      <left style="thin">
        <color rgb="FF163C81"/>
      </left>
      <right style="thin">
        <color auto="1"/>
      </right>
      <top style="thin">
        <color theme="0"/>
      </top>
      <bottom style="thin">
        <color auto="1"/>
      </bottom>
      <diagonal/>
    </border>
    <border>
      <left style="thin">
        <color auto="1"/>
      </left>
      <right style="thin">
        <color auto="1"/>
      </right>
      <top style="thin">
        <color theme="0"/>
      </top>
      <bottom style="thin">
        <color auto="1"/>
      </bottom>
      <diagonal/>
    </border>
    <border>
      <left style="thin">
        <color auto="1"/>
      </left>
      <right style="thin">
        <color auto="1"/>
      </right>
      <top style="thin">
        <color rgb="FF163C81"/>
      </top>
      <bottom style="thin">
        <color auto="1"/>
      </bottom>
      <diagonal/>
    </border>
    <border>
      <left style="thin">
        <color auto="1"/>
      </left>
      <right style="thin">
        <color rgb="FF163C81"/>
      </right>
      <top style="thin">
        <color rgb="FF163C81"/>
      </top>
      <bottom style="thin">
        <color auto="1"/>
      </bottom>
      <diagonal/>
    </border>
    <border>
      <left style="thin">
        <color rgb="FF163C81"/>
      </left>
      <right style="thin">
        <color auto="1"/>
      </right>
      <top style="thin">
        <color auto="1"/>
      </top>
      <bottom style="thin">
        <color rgb="FF163C81"/>
      </bottom>
      <diagonal/>
    </border>
    <border>
      <left style="thin">
        <color auto="1"/>
      </left>
      <right style="thin">
        <color auto="1"/>
      </right>
      <top style="thin">
        <color auto="1"/>
      </top>
      <bottom style="thin">
        <color rgb="FF163C81"/>
      </bottom>
      <diagonal/>
    </border>
    <border>
      <left style="thin">
        <color auto="1"/>
      </left>
      <right style="thin">
        <color rgb="FF163C81"/>
      </right>
      <top style="thin">
        <color auto="1"/>
      </top>
      <bottom style="thin">
        <color rgb="FF163C81"/>
      </bottom>
      <diagonal/>
    </border>
    <border>
      <left/>
      <right/>
      <top style="thick">
        <color rgb="FFF4801F"/>
      </top>
      <bottom style="thick">
        <color rgb="FFF4801F"/>
      </bottom>
      <diagonal/>
    </border>
    <border>
      <left style="thick">
        <color rgb="FFF4801F"/>
      </left>
      <right/>
      <top style="thick">
        <color rgb="FFF4801F"/>
      </top>
      <bottom style="thick">
        <color rgb="FFF4801F"/>
      </bottom>
      <diagonal/>
    </border>
    <border>
      <left/>
      <right style="thick">
        <color rgb="FFF4801F"/>
      </right>
      <top style="thick">
        <color rgb="FFF4801F"/>
      </top>
      <bottom style="thick">
        <color rgb="FFF4801F"/>
      </bottom>
      <diagonal/>
    </border>
    <border>
      <left/>
      <right/>
      <top/>
      <bottom style="thick">
        <color rgb="FFF4801F"/>
      </bottom>
      <diagonal/>
    </border>
    <border>
      <left style="thick">
        <color rgb="FFF4801F"/>
      </left>
      <right/>
      <top/>
      <bottom style="thick">
        <color rgb="FFF4801F"/>
      </bottom>
      <diagonal/>
    </border>
    <border>
      <left/>
      <right style="thin">
        <color theme="0"/>
      </right>
      <top/>
      <bottom style="thin">
        <color indexed="64"/>
      </bottom>
      <diagonal/>
    </border>
    <border>
      <left style="thin">
        <color theme="0"/>
      </left>
      <right/>
      <top/>
      <bottom style="thin">
        <color indexed="64"/>
      </bottom>
      <diagonal/>
    </border>
    <border>
      <left style="thin">
        <color theme="0"/>
      </left>
      <right/>
      <top style="thin">
        <color rgb="FF163C81"/>
      </top>
      <bottom style="thin">
        <color indexed="64"/>
      </bottom>
      <diagonal/>
    </border>
    <border>
      <left/>
      <right style="thin">
        <color theme="0"/>
      </right>
      <top style="thin">
        <color rgb="FF163C81"/>
      </top>
      <bottom style="thin">
        <color indexed="64"/>
      </bottom>
      <diagonal/>
    </border>
    <border>
      <left style="thin">
        <color indexed="64"/>
      </left>
      <right/>
      <top style="thin">
        <color rgb="FF163C81"/>
      </top>
      <bottom style="thin">
        <color indexed="64"/>
      </bottom>
      <diagonal/>
    </border>
    <border>
      <left/>
      <right style="thick">
        <color theme="0"/>
      </right>
      <top/>
      <bottom style="thin">
        <color rgb="FF163C81"/>
      </bottom>
      <diagonal/>
    </border>
    <border>
      <left/>
      <right style="thick">
        <color theme="0"/>
      </right>
      <top/>
      <bottom/>
      <diagonal/>
    </border>
    <border>
      <left/>
      <right style="thick">
        <color theme="0"/>
      </right>
      <top style="thin">
        <color rgb="FF163C81"/>
      </top>
      <bottom style="thin">
        <color rgb="FF163C81"/>
      </bottom>
      <diagonal/>
    </border>
    <border>
      <left/>
      <right style="thick">
        <color theme="0"/>
      </right>
      <top/>
      <bottom style="thin">
        <color theme="0"/>
      </bottom>
      <diagonal/>
    </border>
    <border>
      <left/>
      <right style="thick">
        <color theme="0"/>
      </right>
      <top style="thin">
        <color theme="0"/>
      </top>
      <bottom style="thin">
        <color theme="0"/>
      </bottom>
      <diagonal/>
    </border>
    <border>
      <left/>
      <right style="thick">
        <color theme="0"/>
      </right>
      <top style="thin">
        <color theme="0"/>
      </top>
      <bottom/>
      <diagonal/>
    </border>
    <border>
      <left/>
      <right style="thick">
        <color theme="0"/>
      </right>
      <top style="thin">
        <color rgb="FF163C81"/>
      </top>
      <bottom style="thin">
        <color theme="0"/>
      </bottom>
      <diagonal/>
    </border>
    <border>
      <left style="thin">
        <color rgb="FF163C81"/>
      </left>
      <right/>
      <top style="thin">
        <color theme="0"/>
      </top>
      <bottom/>
      <diagonal/>
    </border>
    <border>
      <left/>
      <right style="thick">
        <color theme="0"/>
      </right>
      <top style="thin">
        <color rgb="FF163C81"/>
      </top>
      <bottom/>
      <diagonal/>
    </border>
    <border>
      <left/>
      <right/>
      <top style="thin">
        <color indexed="64"/>
      </top>
      <bottom/>
      <diagonal/>
    </border>
    <border>
      <left style="thin">
        <color theme="0"/>
      </left>
      <right style="thin">
        <color theme="0"/>
      </right>
      <top style="thin">
        <color auto="1"/>
      </top>
      <bottom/>
      <diagonal/>
    </border>
    <border>
      <left style="thick">
        <color theme="0"/>
      </left>
      <right/>
      <top style="thin">
        <color theme="0"/>
      </top>
      <bottom/>
      <diagonal/>
    </border>
    <border>
      <left style="thick">
        <color theme="0"/>
      </left>
      <right/>
      <top/>
      <bottom/>
      <diagonal/>
    </border>
    <border>
      <left style="thin">
        <color theme="0"/>
      </left>
      <right style="thin">
        <color indexed="64"/>
      </right>
      <top style="thin">
        <color indexed="64"/>
      </top>
      <bottom/>
      <diagonal/>
    </border>
    <border>
      <left/>
      <right style="thin">
        <color theme="0"/>
      </right>
      <top style="thin">
        <color theme="0"/>
      </top>
      <bottom/>
      <diagonal/>
    </border>
    <border>
      <left style="thick">
        <color theme="0"/>
      </left>
      <right/>
      <top/>
      <bottom style="thin">
        <color rgb="FF163C81"/>
      </bottom>
      <diagonal/>
    </border>
    <border>
      <left/>
      <right style="thin">
        <color theme="0"/>
      </right>
      <top/>
      <bottom style="thin">
        <color rgb="FF163C81"/>
      </bottom>
      <diagonal/>
    </border>
    <border>
      <left style="thin">
        <color theme="0"/>
      </left>
      <right/>
      <top style="thin">
        <color theme="0"/>
      </top>
      <bottom/>
      <diagonal/>
    </border>
    <border>
      <left style="thin">
        <color theme="0"/>
      </left>
      <right/>
      <top/>
      <bottom style="thin">
        <color rgb="FF163C81"/>
      </bottom>
      <diagonal/>
    </border>
    <border>
      <left/>
      <right style="thick">
        <color rgb="FFF4801F"/>
      </right>
      <top style="thin">
        <color theme="0"/>
      </top>
      <bottom/>
      <diagonal/>
    </border>
    <border>
      <left style="thin">
        <color rgb="FF163C81"/>
      </left>
      <right style="thin">
        <color theme="0"/>
      </right>
      <top style="thin">
        <color theme="0"/>
      </top>
      <bottom/>
      <diagonal/>
    </border>
    <border>
      <left style="thick">
        <color rgb="FFF4801F"/>
      </left>
      <right style="thin">
        <color rgb="FF163C81"/>
      </right>
      <top style="thin">
        <color rgb="FF163C81"/>
      </top>
      <bottom style="thick">
        <color rgb="FFF4801F"/>
      </bottom>
      <diagonal/>
    </border>
    <border>
      <left style="thin">
        <color rgb="FF163C81"/>
      </left>
      <right style="thin">
        <color rgb="FF163C81"/>
      </right>
      <top style="thin">
        <color rgb="FF163C81"/>
      </top>
      <bottom style="thick">
        <color rgb="FFF4801F"/>
      </bottom>
      <diagonal/>
    </border>
  </borders>
  <cellStyleXfs count="7">
    <xf numFmtId="0" fontId="0" fillId="0" borderId="0"/>
    <xf numFmtId="0" fontId="4" fillId="0" borderId="0" applyNumberForma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16" fillId="0" borderId="0"/>
    <xf numFmtId="0" fontId="16" fillId="0" borderId="0"/>
    <xf numFmtId="0" fontId="1" fillId="0" borderId="0"/>
  </cellStyleXfs>
  <cellXfs count="829">
    <xf numFmtId="0" fontId="0" fillId="0" borderId="0" xfId="0"/>
    <xf numFmtId="9" fontId="16" fillId="5" borderId="0" xfId="4" applyNumberFormat="1" applyFill="1" applyProtection="1">
      <protection hidden="1"/>
    </xf>
    <xf numFmtId="10" fontId="16" fillId="5" borderId="0" xfId="4" applyNumberFormat="1" applyFill="1" applyAlignment="1" applyProtection="1">
      <alignment vertical="center"/>
      <protection hidden="1"/>
    </xf>
    <xf numFmtId="10" fontId="16" fillId="5" borderId="0" xfId="4" applyNumberFormat="1" applyFill="1" applyProtection="1">
      <protection hidden="1"/>
    </xf>
    <xf numFmtId="0" fontId="16" fillId="0" borderId="0" xfId="5" applyProtection="1">
      <protection hidden="1"/>
    </xf>
    <xf numFmtId="0" fontId="16" fillId="0" borderId="0" xfId="5" applyAlignment="1" applyProtection="1">
      <alignment vertical="center"/>
      <protection hidden="1"/>
    </xf>
    <xf numFmtId="0" fontId="0" fillId="0" borderId="0" xfId="0" applyProtection="1">
      <protection hidden="1"/>
    </xf>
    <xf numFmtId="0" fontId="2" fillId="0" borderId="6" xfId="0" applyFont="1" applyBorder="1" applyAlignment="1" applyProtection="1">
      <alignment vertical="center"/>
      <protection hidden="1"/>
    </xf>
    <xf numFmtId="0" fontId="2" fillId="0" borderId="7" xfId="0" applyFont="1" applyBorder="1" applyAlignment="1" applyProtection="1">
      <alignment vertical="center"/>
      <protection hidden="1"/>
    </xf>
    <xf numFmtId="0" fontId="0" fillId="0" borderId="0" xfId="0" applyAlignment="1" applyProtection="1">
      <alignment vertical="center"/>
      <protection hidden="1"/>
    </xf>
    <xf numFmtId="0" fontId="0" fillId="0" borderId="7" xfId="0" applyBorder="1" applyAlignment="1" applyProtection="1">
      <alignment vertical="center"/>
      <protection hidden="1"/>
    </xf>
    <xf numFmtId="0" fontId="0" fillId="0" borderId="7" xfId="0" applyBorder="1" applyProtection="1">
      <protection hidden="1"/>
    </xf>
    <xf numFmtId="0" fontId="2" fillId="0" borderId="2" xfId="0" applyFont="1" applyBorder="1" applyAlignment="1" applyProtection="1">
      <alignment vertical="center"/>
      <protection hidden="1"/>
    </xf>
    <xf numFmtId="0" fontId="2" fillId="0" borderId="0" xfId="0" applyFont="1" applyAlignment="1" applyProtection="1">
      <alignment vertical="center"/>
      <protection hidden="1"/>
    </xf>
    <xf numFmtId="0" fontId="0" fillId="0" borderId="14" xfId="0" applyBorder="1" applyAlignment="1" applyProtection="1">
      <alignment horizontal="center" vertical="center"/>
      <protection hidden="1"/>
    </xf>
    <xf numFmtId="164" fontId="0" fillId="0" borderId="14" xfId="2" applyNumberFormat="1" applyFont="1" applyBorder="1" applyAlignment="1" applyProtection="1">
      <alignment vertical="center"/>
      <protection hidden="1"/>
    </xf>
    <xf numFmtId="8" fontId="0" fillId="0" borderId="17" xfId="0" applyNumberFormat="1" applyBorder="1" applyProtection="1">
      <protection hidden="1"/>
    </xf>
    <xf numFmtId="0" fontId="7" fillId="0" borderId="13" xfId="0" applyFont="1" applyBorder="1" applyAlignment="1" applyProtection="1">
      <alignment horizontal="center" vertical="center"/>
      <protection hidden="1"/>
    </xf>
    <xf numFmtId="164" fontId="0" fillId="0" borderId="13" xfId="0" applyNumberFormat="1" applyBorder="1" applyAlignment="1" applyProtection="1">
      <alignment vertical="center"/>
      <protection hidden="1"/>
    </xf>
    <xf numFmtId="0" fontId="0" fillId="0" borderId="13" xfId="0" applyBorder="1" applyAlignment="1" applyProtection="1">
      <alignment horizontal="center" vertical="center"/>
      <protection hidden="1"/>
    </xf>
    <xf numFmtId="164" fontId="0" fillId="0" borderId="13" xfId="2" applyNumberFormat="1" applyFont="1" applyBorder="1" applyAlignment="1" applyProtection="1">
      <alignment vertical="center"/>
      <protection hidden="1"/>
    </xf>
    <xf numFmtId="0" fontId="11" fillId="0" borderId="0" xfId="0" applyFont="1" applyAlignment="1" applyProtection="1">
      <alignment vertical="center"/>
      <protection hidden="1"/>
    </xf>
    <xf numFmtId="164" fontId="0" fillId="0" borderId="0" xfId="0" applyNumberFormat="1" applyAlignment="1" applyProtection="1">
      <alignment vertical="center"/>
      <protection hidden="1"/>
    </xf>
    <xf numFmtId="0" fontId="15" fillId="0" borderId="0" xfId="0" applyFont="1" applyAlignment="1" applyProtection="1">
      <alignment wrapText="1"/>
      <protection hidden="1"/>
    </xf>
    <xf numFmtId="0" fontId="18" fillId="0" borderId="0" xfId="5" applyFont="1" applyAlignment="1" applyProtection="1">
      <alignment horizontal="center" vertical="center"/>
      <protection hidden="1"/>
    </xf>
    <xf numFmtId="0" fontId="19" fillId="0" borderId="0" xfId="5" applyFont="1" applyAlignment="1" applyProtection="1">
      <alignment horizontal="center" vertical="center"/>
      <protection hidden="1"/>
    </xf>
    <xf numFmtId="0" fontId="16" fillId="0" borderId="0" xfId="5" applyAlignment="1" applyProtection="1">
      <alignment horizontal="center" vertical="center"/>
      <protection hidden="1"/>
    </xf>
    <xf numFmtId="0" fontId="16" fillId="0" borderId="0" xfId="5" applyAlignment="1" applyProtection="1">
      <alignment horizontal="center"/>
      <protection hidden="1"/>
    </xf>
    <xf numFmtId="0" fontId="6" fillId="0" borderId="0" xfId="5" applyFont="1" applyProtection="1">
      <protection hidden="1"/>
    </xf>
    <xf numFmtId="0" fontId="2" fillId="0" borderId="7" xfId="0" applyFont="1" applyBorder="1" applyProtection="1">
      <protection hidden="1"/>
    </xf>
    <xf numFmtId="0" fontId="10" fillId="0" borderId="0" xfId="0" applyFont="1" applyProtection="1">
      <protection hidden="1"/>
    </xf>
    <xf numFmtId="10" fontId="0" fillId="0" borderId="0" xfId="3" applyNumberFormat="1" applyFont="1" applyAlignment="1" applyProtection="1">
      <alignment vertical="center"/>
      <protection hidden="1"/>
    </xf>
    <xf numFmtId="43" fontId="0" fillId="0" borderId="0" xfId="2" applyFont="1" applyAlignment="1" applyProtection="1">
      <alignment vertical="center"/>
      <protection hidden="1"/>
    </xf>
    <xf numFmtId="2" fontId="0" fillId="0" borderId="14" xfId="0" applyNumberFormat="1" applyBorder="1" applyAlignment="1" applyProtection="1">
      <alignment vertical="center"/>
      <protection hidden="1"/>
    </xf>
    <xf numFmtId="164" fontId="0" fillId="0" borderId="14" xfId="0" applyNumberFormat="1" applyBorder="1" applyAlignment="1" applyProtection="1">
      <alignment vertical="center"/>
      <protection hidden="1"/>
    </xf>
    <xf numFmtId="43" fontId="0" fillId="0" borderId="0" xfId="0" applyNumberFormat="1" applyAlignment="1" applyProtection="1">
      <alignment vertical="center"/>
      <protection hidden="1"/>
    </xf>
    <xf numFmtId="1" fontId="0" fillId="0" borderId="0" xfId="0" applyNumberFormat="1" applyAlignment="1" applyProtection="1">
      <alignment vertical="center"/>
      <protection hidden="1"/>
    </xf>
    <xf numFmtId="0" fontId="0" fillId="6" borderId="14" xfId="0" applyFill="1" applyBorder="1" applyAlignment="1" applyProtection="1">
      <alignment horizontal="center" vertical="center"/>
      <protection hidden="1"/>
    </xf>
    <xf numFmtId="2" fontId="0" fillId="6" borderId="14" xfId="0" applyNumberFormat="1" applyFill="1" applyBorder="1" applyAlignment="1" applyProtection="1">
      <alignment vertical="center"/>
      <protection hidden="1"/>
    </xf>
    <xf numFmtId="164" fontId="0" fillId="6" borderId="14" xfId="0" applyNumberFormat="1" applyFill="1" applyBorder="1" applyAlignment="1" applyProtection="1">
      <alignment vertical="center"/>
      <protection hidden="1"/>
    </xf>
    <xf numFmtId="164" fontId="0" fillId="6" borderId="14" xfId="2" applyNumberFormat="1" applyFont="1" applyFill="1" applyBorder="1" applyAlignment="1" applyProtection="1">
      <alignment vertical="center"/>
      <protection hidden="1"/>
    </xf>
    <xf numFmtId="2" fontId="0" fillId="0" borderId="0" xfId="0" applyNumberFormat="1" applyProtection="1">
      <protection hidden="1"/>
    </xf>
    <xf numFmtId="0" fontId="0" fillId="6" borderId="0" xfId="0" applyFill="1" applyProtection="1">
      <protection hidden="1"/>
    </xf>
    <xf numFmtId="43" fontId="0" fillId="6" borderId="0" xfId="0" applyNumberFormat="1" applyFill="1" applyAlignment="1" applyProtection="1">
      <alignment vertical="center"/>
      <protection hidden="1"/>
    </xf>
    <xf numFmtId="1" fontId="0" fillId="6" borderId="0" xfId="0" applyNumberFormat="1" applyFill="1" applyAlignment="1" applyProtection="1">
      <alignment vertical="center"/>
      <protection hidden="1"/>
    </xf>
    <xf numFmtId="164" fontId="2" fillId="0" borderId="21" xfId="2" applyNumberFormat="1" applyFont="1" applyBorder="1" applyAlignment="1" applyProtection="1">
      <alignment vertical="center"/>
      <protection hidden="1"/>
    </xf>
    <xf numFmtId="10" fontId="0" fillId="0" borderId="0" xfId="0" applyNumberFormat="1" applyProtection="1">
      <protection hidden="1"/>
    </xf>
    <xf numFmtId="164" fontId="0" fillId="0" borderId="0" xfId="2" applyNumberFormat="1" applyFont="1" applyProtection="1">
      <protection hidden="1"/>
    </xf>
    <xf numFmtId="0" fontId="0" fillId="0" borderId="0" xfId="0" applyAlignment="1" applyProtection="1">
      <alignment horizontal="center"/>
      <protection hidden="1"/>
    </xf>
    <xf numFmtId="0" fontId="13" fillId="0" borderId="0" xfId="0" applyFont="1" applyAlignment="1" applyProtection="1">
      <alignment vertical="center"/>
      <protection hidden="1"/>
    </xf>
    <xf numFmtId="0" fontId="0" fillId="0" borderId="13" xfId="0" applyBorder="1" applyAlignment="1" applyProtection="1">
      <alignment horizontal="center"/>
      <protection hidden="1"/>
    </xf>
    <xf numFmtId="164" fontId="0" fillId="0" borderId="13" xfId="2" applyNumberFormat="1" applyFont="1" applyBorder="1" applyProtection="1">
      <protection hidden="1"/>
    </xf>
    <xf numFmtId="0" fontId="0" fillId="0" borderId="6" xfId="0" applyBorder="1" applyAlignment="1" applyProtection="1">
      <alignment vertical="center"/>
      <protection hidden="1"/>
    </xf>
    <xf numFmtId="0" fontId="7" fillId="0" borderId="0" xfId="0" applyFont="1" applyAlignment="1" applyProtection="1">
      <alignment vertical="center"/>
      <protection hidden="1"/>
    </xf>
    <xf numFmtId="0" fontId="0" fillId="0" borderId="36" xfId="0" applyBorder="1" applyAlignment="1" applyProtection="1">
      <alignment horizontal="center" vertical="center"/>
      <protection hidden="1"/>
    </xf>
    <xf numFmtId="0" fontId="0" fillId="0" borderId="8" xfId="0" applyBorder="1" applyAlignment="1" applyProtection="1">
      <alignment vertical="center"/>
      <protection hidden="1"/>
    </xf>
    <xf numFmtId="0" fontId="28" fillId="0" borderId="6" xfId="0" applyFont="1" applyBorder="1" applyAlignment="1" applyProtection="1">
      <alignment vertical="center"/>
      <protection hidden="1"/>
    </xf>
    <xf numFmtId="0" fontId="28" fillId="5" borderId="0" xfId="0" applyFont="1" applyFill="1" applyProtection="1">
      <protection hidden="1"/>
    </xf>
    <xf numFmtId="164" fontId="0" fillId="0" borderId="17" xfId="2" applyNumberFormat="1" applyFont="1" applyBorder="1" applyAlignment="1" applyProtection="1">
      <alignment vertical="center"/>
      <protection hidden="1"/>
    </xf>
    <xf numFmtId="164" fontId="12" fillId="2" borderId="29" xfId="0" applyNumberFormat="1" applyFont="1" applyFill="1" applyBorder="1" applyAlignment="1" applyProtection="1">
      <alignment vertical="center"/>
      <protection hidden="1"/>
    </xf>
    <xf numFmtId="0" fontId="0" fillId="0" borderId="57" xfId="0" applyBorder="1" applyAlignment="1" applyProtection="1">
      <alignment horizontal="center" vertical="center"/>
      <protection hidden="1"/>
    </xf>
    <xf numFmtId="0" fontId="12" fillId="7" borderId="81" xfId="0" applyFont="1" applyFill="1" applyBorder="1" applyAlignment="1" applyProtection="1">
      <alignment horizontal="center" vertical="center"/>
      <protection hidden="1"/>
    </xf>
    <xf numFmtId="164" fontId="12" fillId="7" borderId="84" xfId="2" applyNumberFormat="1" applyFont="1" applyFill="1" applyBorder="1" applyAlignment="1" applyProtection="1">
      <alignment horizontal="center" vertical="center" shrinkToFit="1"/>
      <protection hidden="1"/>
    </xf>
    <xf numFmtId="0" fontId="0" fillId="6" borderId="57" xfId="0" applyFill="1" applyBorder="1" applyAlignment="1" applyProtection="1">
      <alignment horizontal="center" vertical="center"/>
      <protection hidden="1"/>
    </xf>
    <xf numFmtId="0" fontId="0" fillId="0" borderId="73" xfId="0" applyBorder="1" applyProtection="1">
      <protection hidden="1"/>
    </xf>
    <xf numFmtId="0" fontId="0" fillId="0" borderId="76" xfId="0" applyBorder="1" applyProtection="1">
      <protection hidden="1"/>
    </xf>
    <xf numFmtId="0" fontId="2" fillId="0" borderId="76" xfId="0" applyFont="1" applyBorder="1" applyProtection="1">
      <protection hidden="1"/>
    </xf>
    <xf numFmtId="0" fontId="2" fillId="0" borderId="93" xfId="0" applyFont="1" applyBorder="1" applyAlignment="1" applyProtection="1">
      <alignment vertical="center"/>
      <protection hidden="1"/>
    </xf>
    <xf numFmtId="0" fontId="2" fillId="0" borderId="61" xfId="0" applyFont="1" applyBorder="1" applyAlignment="1" applyProtection="1">
      <alignment horizontal="left" vertical="center" indent="1"/>
      <protection hidden="1"/>
    </xf>
    <xf numFmtId="0" fontId="30" fillId="0" borderId="7" xfId="0" applyFont="1" applyBorder="1" applyAlignment="1" applyProtection="1">
      <alignment vertical="center"/>
      <protection hidden="1"/>
    </xf>
    <xf numFmtId="0" fontId="30" fillId="0" borderId="7" xfId="0" applyFont="1" applyBorder="1" applyAlignment="1" applyProtection="1">
      <alignment vertical="center" shrinkToFit="1"/>
      <protection hidden="1"/>
    </xf>
    <xf numFmtId="0" fontId="8" fillId="0" borderId="0" xfId="0" applyFont="1" applyAlignment="1" applyProtection="1">
      <alignment vertical="center"/>
      <protection hidden="1"/>
    </xf>
    <xf numFmtId="0" fontId="30" fillId="0" borderId="0" xfId="0" applyFont="1" applyAlignment="1" applyProtection="1">
      <alignment vertical="center"/>
      <protection hidden="1"/>
    </xf>
    <xf numFmtId="0" fontId="31" fillId="2" borderId="0" xfId="0" applyFont="1" applyFill="1" applyProtection="1">
      <protection hidden="1"/>
    </xf>
    <xf numFmtId="0" fontId="30" fillId="0" borderId="6" xfId="0" applyFont="1" applyBorder="1" applyAlignment="1" applyProtection="1">
      <alignment vertical="center"/>
      <protection hidden="1"/>
    </xf>
    <xf numFmtId="0" fontId="30" fillId="0" borderId="8" xfId="0" applyFont="1" applyBorder="1" applyAlignment="1" applyProtection="1">
      <alignment vertical="center"/>
      <protection hidden="1"/>
    </xf>
    <xf numFmtId="0" fontId="5" fillId="0" borderId="0" xfId="0" applyFont="1" applyAlignment="1" applyProtection="1">
      <alignment vertical="center"/>
      <protection hidden="1"/>
    </xf>
    <xf numFmtId="164" fontId="0" fillId="0" borderId="0" xfId="0" applyNumberFormat="1" applyProtection="1">
      <protection hidden="1"/>
    </xf>
    <xf numFmtId="8" fontId="0" fillId="0" borderId="0" xfId="0" applyNumberFormat="1" applyProtection="1">
      <protection hidden="1"/>
    </xf>
    <xf numFmtId="0" fontId="0" fillId="0" borderId="0" xfId="0" applyAlignment="1">
      <alignment vertical="center"/>
    </xf>
    <xf numFmtId="0" fontId="0" fillId="0" borderId="0" xfId="0" applyAlignment="1">
      <alignment horizontal="center"/>
    </xf>
    <xf numFmtId="43" fontId="0" fillId="0" borderId="13" xfId="0" applyNumberFormat="1" applyBorder="1" applyAlignment="1" applyProtection="1">
      <alignment vertical="center"/>
      <protection hidden="1"/>
    </xf>
    <xf numFmtId="0" fontId="2" fillId="0" borderId="0" xfId="0" applyFont="1"/>
    <xf numFmtId="0" fontId="2" fillId="0" borderId="13" xfId="0" applyFont="1" applyBorder="1" applyAlignment="1" applyProtection="1">
      <alignment horizontal="center" vertical="center"/>
      <protection hidden="1"/>
    </xf>
    <xf numFmtId="164" fontId="2" fillId="0" borderId="13" xfId="0" applyNumberFormat="1" applyFont="1" applyBorder="1" applyAlignment="1" applyProtection="1">
      <alignment vertical="center"/>
      <protection hidden="1"/>
    </xf>
    <xf numFmtId="43" fontId="2" fillId="0" borderId="13" xfId="0" applyNumberFormat="1" applyFont="1" applyBorder="1" applyAlignment="1" applyProtection="1">
      <alignment vertical="center"/>
      <protection hidden="1"/>
    </xf>
    <xf numFmtId="164" fontId="2" fillId="0" borderId="13" xfId="2" applyNumberFormat="1" applyFont="1" applyBorder="1" applyAlignment="1" applyProtection="1">
      <alignment vertical="center"/>
      <protection hidden="1"/>
    </xf>
    <xf numFmtId="0" fontId="2" fillId="0" borderId="0" xfId="0" applyFont="1" applyAlignment="1">
      <alignment vertical="center"/>
    </xf>
    <xf numFmtId="9" fontId="0" fillId="0" borderId="0" xfId="3" applyFont="1" applyAlignment="1" applyProtection="1">
      <alignment vertical="center"/>
      <protection hidden="1"/>
    </xf>
    <xf numFmtId="10" fontId="0" fillId="0" borderId="0" xfId="3" applyNumberFormat="1" applyFont="1"/>
    <xf numFmtId="6" fontId="0" fillId="0" borderId="0" xfId="0" applyNumberFormat="1"/>
    <xf numFmtId="10" fontId="0" fillId="0" borderId="0" xfId="0" applyNumberFormat="1"/>
    <xf numFmtId="164" fontId="0" fillId="0" borderId="0" xfId="0" applyNumberFormat="1"/>
    <xf numFmtId="164" fontId="0" fillId="0" borderId="0" xfId="0" applyNumberFormat="1" applyAlignment="1">
      <alignment vertical="center"/>
    </xf>
    <xf numFmtId="0" fontId="33" fillId="0" borderId="0" xfId="0" applyFont="1" applyAlignment="1">
      <alignment vertical="center" wrapText="1"/>
    </xf>
    <xf numFmtId="0" fontId="2" fillId="0" borderId="61" xfId="0" applyFont="1" applyBorder="1" applyAlignment="1" applyProtection="1">
      <alignment horizontal="left" vertical="center"/>
      <protection hidden="1"/>
    </xf>
    <xf numFmtId="0" fontId="22" fillId="0" borderId="0" xfId="0" applyFont="1" applyAlignment="1" applyProtection="1">
      <alignment vertical="center" wrapText="1"/>
      <protection hidden="1"/>
    </xf>
    <xf numFmtId="164" fontId="0" fillId="0" borderId="0" xfId="0" applyNumberFormat="1" applyAlignment="1" applyProtection="1">
      <alignment horizontal="center" vertical="center"/>
      <protection hidden="1"/>
    </xf>
    <xf numFmtId="0" fontId="31" fillId="2" borderId="10" xfId="0" applyFont="1" applyFill="1" applyBorder="1" applyProtection="1">
      <protection hidden="1"/>
    </xf>
    <xf numFmtId="0" fontId="31" fillId="2" borderId="40" xfId="0" applyFont="1" applyFill="1" applyBorder="1" applyProtection="1">
      <protection hidden="1"/>
    </xf>
    <xf numFmtId="0" fontId="12" fillId="8" borderId="37" xfId="0" applyFont="1" applyFill="1" applyBorder="1" applyAlignment="1" applyProtection="1">
      <alignment vertical="center"/>
      <protection hidden="1"/>
    </xf>
    <xf numFmtId="0" fontId="12" fillId="8" borderId="33" xfId="0" applyFont="1" applyFill="1" applyBorder="1" applyAlignment="1" applyProtection="1">
      <alignment vertical="center"/>
      <protection hidden="1"/>
    </xf>
    <xf numFmtId="0" fontId="22" fillId="0" borderId="0" xfId="0" applyFont="1" applyAlignment="1" applyProtection="1">
      <alignment horizontal="center" vertical="center" wrapText="1"/>
      <protection hidden="1"/>
    </xf>
    <xf numFmtId="0" fontId="7" fillId="0" borderId="0" xfId="0" applyFont="1" applyAlignment="1" applyProtection="1">
      <alignment horizontal="center" vertical="center"/>
      <protection hidden="1"/>
    </xf>
    <xf numFmtId="0" fontId="2" fillId="0" borderId="62" xfId="0" applyFont="1" applyBorder="1" applyAlignment="1" applyProtection="1">
      <alignment vertical="center"/>
      <protection hidden="1"/>
    </xf>
    <xf numFmtId="0" fontId="2" fillId="0" borderId="76" xfId="0" applyFont="1" applyBorder="1" applyAlignment="1" applyProtection="1">
      <alignment horizontal="left" vertical="center" indent="1"/>
      <protection hidden="1"/>
    </xf>
    <xf numFmtId="0" fontId="2" fillId="0" borderId="93" xfId="0" applyFont="1" applyBorder="1" applyAlignment="1" applyProtection="1">
      <alignment horizontal="left" vertical="center" indent="1"/>
      <protection hidden="1"/>
    </xf>
    <xf numFmtId="164" fontId="0" fillId="0" borderId="6" xfId="2" applyNumberFormat="1" applyFont="1" applyBorder="1" applyAlignment="1" applyProtection="1">
      <alignment horizontal="center" vertical="center" shrinkToFit="1"/>
      <protection hidden="1"/>
    </xf>
    <xf numFmtId="0" fontId="0" fillId="0" borderId="145" xfId="0" applyBorder="1" applyAlignment="1" applyProtection="1">
      <alignment vertical="center"/>
      <protection hidden="1"/>
    </xf>
    <xf numFmtId="0" fontId="2" fillId="0" borderId="147" xfId="0" applyFont="1" applyBorder="1" applyAlignment="1" applyProtection="1">
      <alignment horizontal="left" vertical="center"/>
      <protection hidden="1"/>
    </xf>
    <xf numFmtId="0" fontId="12" fillId="8" borderId="0" xfId="0" applyFont="1" applyFill="1" applyProtection="1">
      <protection hidden="1"/>
    </xf>
    <xf numFmtId="0" fontId="2" fillId="0" borderId="0" xfId="0" applyFont="1" applyProtection="1">
      <protection hidden="1"/>
    </xf>
    <xf numFmtId="0" fontId="2" fillId="0" borderId="105" xfId="0" applyFont="1" applyBorder="1" applyAlignment="1" applyProtection="1">
      <alignment vertical="center"/>
      <protection hidden="1"/>
    </xf>
    <xf numFmtId="0" fontId="2" fillId="0" borderId="106" xfId="0" applyFont="1" applyBorder="1" applyProtection="1">
      <protection hidden="1"/>
    </xf>
    <xf numFmtId="0" fontId="2" fillId="0" borderId="108" xfId="0" applyFont="1" applyBorder="1" applyAlignment="1" applyProtection="1">
      <alignment vertical="center"/>
      <protection hidden="1"/>
    </xf>
    <xf numFmtId="0" fontId="2" fillId="0" borderId="111" xfId="0" applyFont="1" applyBorder="1" applyAlignment="1" applyProtection="1">
      <alignment vertical="center"/>
      <protection hidden="1"/>
    </xf>
    <xf numFmtId="0" fontId="2" fillId="0" borderId="112" xfId="0" applyFont="1" applyBorder="1" applyProtection="1">
      <protection hidden="1"/>
    </xf>
    <xf numFmtId="0" fontId="2" fillId="5" borderId="108" xfId="0" applyFont="1" applyFill="1" applyBorder="1" applyAlignment="1" applyProtection="1">
      <alignment vertical="center"/>
      <protection hidden="1"/>
    </xf>
    <xf numFmtId="0" fontId="2" fillId="5" borderId="7" xfId="0" applyFont="1" applyFill="1" applyBorder="1" applyProtection="1">
      <protection hidden="1"/>
    </xf>
    <xf numFmtId="0" fontId="3" fillId="2" borderId="148" xfId="0" applyFont="1" applyFill="1" applyBorder="1" applyAlignment="1" applyProtection="1">
      <alignment vertical="center"/>
      <protection hidden="1"/>
    </xf>
    <xf numFmtId="0" fontId="38" fillId="2" borderId="35" xfId="0" applyFont="1" applyFill="1" applyBorder="1" applyProtection="1">
      <protection hidden="1"/>
    </xf>
    <xf numFmtId="0" fontId="38" fillId="2" borderId="128" xfId="0" applyFont="1" applyFill="1" applyBorder="1" applyProtection="1">
      <protection hidden="1"/>
    </xf>
    <xf numFmtId="0" fontId="3" fillId="2" borderId="34" xfId="0" applyFont="1" applyFill="1" applyBorder="1" applyAlignment="1" applyProtection="1">
      <alignment vertical="center"/>
      <protection hidden="1"/>
    </xf>
    <xf numFmtId="43" fontId="0" fillId="0" borderId="0" xfId="0" applyNumberFormat="1" applyProtection="1">
      <protection hidden="1"/>
    </xf>
    <xf numFmtId="0" fontId="7" fillId="0" borderId="0" xfId="0" applyFont="1" applyProtection="1">
      <protection hidden="1"/>
    </xf>
    <xf numFmtId="0" fontId="9" fillId="0" borderId="70" xfId="0" applyFont="1" applyBorder="1" applyAlignment="1" applyProtection="1">
      <alignment horizontal="left" vertical="center"/>
      <protection hidden="1"/>
    </xf>
    <xf numFmtId="0" fontId="9" fillId="0" borderId="71" xfId="0" applyFont="1" applyBorder="1" applyAlignment="1" applyProtection="1">
      <alignment horizontal="left" vertical="center"/>
      <protection hidden="1"/>
    </xf>
    <xf numFmtId="0" fontId="9" fillId="0" borderId="72" xfId="0" applyFont="1" applyBorder="1" applyAlignment="1" applyProtection="1">
      <alignment horizontal="left" vertical="center"/>
      <protection hidden="1"/>
    </xf>
    <xf numFmtId="0" fontId="15" fillId="0" borderId="61" xfId="0" applyFont="1" applyBorder="1" applyAlignment="1" applyProtection="1">
      <alignment vertical="center"/>
      <protection hidden="1"/>
    </xf>
    <xf numFmtId="0" fontId="8" fillId="0" borderId="7" xfId="0" applyFont="1" applyBorder="1" applyProtection="1">
      <protection hidden="1"/>
    </xf>
    <xf numFmtId="0" fontId="9" fillId="0" borderId="62" xfId="0" applyFont="1" applyBorder="1" applyAlignment="1" applyProtection="1">
      <alignment vertical="center"/>
      <protection hidden="1"/>
    </xf>
    <xf numFmtId="0" fontId="2" fillId="0" borderId="76" xfId="0" applyFont="1" applyBorder="1" applyAlignment="1" applyProtection="1">
      <alignment vertical="center"/>
      <protection hidden="1"/>
    </xf>
    <xf numFmtId="0" fontId="8" fillId="0" borderId="76" xfId="0" applyFont="1" applyBorder="1" applyProtection="1">
      <protection hidden="1"/>
    </xf>
    <xf numFmtId="0" fontId="9" fillId="0" borderId="61" xfId="0" applyFont="1" applyBorder="1" applyAlignment="1" applyProtection="1">
      <alignment vertical="center"/>
      <protection hidden="1"/>
    </xf>
    <xf numFmtId="0" fontId="9" fillId="0" borderId="6" xfId="0" applyFont="1" applyBorder="1" applyAlignment="1" applyProtection="1">
      <alignment vertical="center"/>
      <protection hidden="1"/>
    </xf>
    <xf numFmtId="0" fontId="21" fillId="0" borderId="6" xfId="0" applyFont="1" applyBorder="1" applyAlignment="1" applyProtection="1">
      <alignment vertical="center"/>
      <protection hidden="1"/>
    </xf>
    <xf numFmtId="0" fontId="7" fillId="3" borderId="150" xfId="0" applyFont="1" applyFill="1" applyBorder="1" applyAlignment="1" applyProtection="1">
      <alignment horizontal="center" vertical="center"/>
      <protection hidden="1"/>
    </xf>
    <xf numFmtId="0" fontId="2" fillId="0" borderId="26" xfId="0" applyFont="1" applyBorder="1" applyAlignment="1" applyProtection="1">
      <alignment vertical="center"/>
      <protection hidden="1"/>
    </xf>
    <xf numFmtId="0" fontId="2" fillId="0" borderId="4" xfId="0" applyFont="1" applyBorder="1" applyAlignment="1" applyProtection="1">
      <alignment vertical="center"/>
      <protection hidden="1"/>
    </xf>
    <xf numFmtId="0" fontId="7" fillId="0" borderId="0" xfId="0" applyFont="1" applyAlignment="1" applyProtection="1">
      <alignment horizontal="right" vertical="center"/>
      <protection hidden="1"/>
    </xf>
    <xf numFmtId="0" fontId="3" fillId="2" borderId="0" xfId="0" applyFont="1" applyFill="1" applyAlignment="1">
      <alignment vertical="center"/>
    </xf>
    <xf numFmtId="0" fontId="38" fillId="2" borderId="0" xfId="0" applyFont="1" applyFill="1"/>
    <xf numFmtId="0" fontId="8" fillId="0" borderId="6" xfId="0" applyFont="1" applyBorder="1" applyAlignment="1" applyProtection="1">
      <alignment vertical="center"/>
      <protection hidden="1"/>
    </xf>
    <xf numFmtId="0" fontId="2" fillId="0" borderId="7" xfId="0" applyFont="1" applyBorder="1" applyAlignment="1">
      <alignment vertical="center"/>
    </xf>
    <xf numFmtId="0" fontId="2" fillId="0" borderId="6" xfId="0" applyFont="1" applyBorder="1" applyAlignment="1">
      <alignment vertical="center"/>
    </xf>
    <xf numFmtId="0" fontId="8" fillId="0" borderId="6" xfId="0" applyFont="1" applyBorder="1" applyAlignment="1">
      <alignment vertical="center"/>
    </xf>
    <xf numFmtId="0" fontId="39" fillId="0" borderId="0" xfId="0" applyFont="1" applyAlignment="1" applyProtection="1">
      <alignment vertical="center"/>
      <protection hidden="1"/>
    </xf>
    <xf numFmtId="0" fontId="2" fillId="0" borderId="6" xfId="0" applyFont="1" applyBorder="1" applyAlignment="1" applyProtection="1">
      <alignment horizontal="left" vertical="center"/>
      <protection hidden="1"/>
    </xf>
    <xf numFmtId="0" fontId="2" fillId="0" borderId="7" xfId="0" applyFont="1" applyBorder="1" applyAlignment="1" applyProtection="1">
      <alignment horizontal="left" vertical="center"/>
      <protection hidden="1"/>
    </xf>
    <xf numFmtId="0" fontId="2" fillId="0" borderId="7" xfId="0" applyFont="1" applyBorder="1" applyAlignment="1" applyProtection="1">
      <alignment horizontal="left"/>
      <protection hidden="1"/>
    </xf>
    <xf numFmtId="0" fontId="21" fillId="0" borderId="0" xfId="0" applyFont="1"/>
    <xf numFmtId="0" fontId="3" fillId="2" borderId="28" xfId="0" applyFont="1" applyFill="1" applyBorder="1" applyAlignment="1" applyProtection="1">
      <alignment horizontal="center" vertical="center"/>
      <protection hidden="1"/>
    </xf>
    <xf numFmtId="0" fontId="15" fillId="0" borderId="108" xfId="0" applyFont="1" applyBorder="1" applyAlignment="1" applyProtection="1">
      <alignment vertical="center"/>
      <protection hidden="1"/>
    </xf>
    <xf numFmtId="0" fontId="9" fillId="0" borderId="7" xfId="0" applyFont="1" applyBorder="1" applyProtection="1">
      <protection hidden="1"/>
    </xf>
    <xf numFmtId="0" fontId="21" fillId="0" borderId="7" xfId="0" applyFont="1" applyBorder="1" applyAlignment="1" applyProtection="1">
      <alignment vertical="center"/>
      <protection hidden="1"/>
    </xf>
    <xf numFmtId="0" fontId="3" fillId="2" borderId="111" xfId="0" applyFont="1" applyFill="1" applyBorder="1" applyAlignment="1" applyProtection="1">
      <alignment vertical="center"/>
      <protection hidden="1"/>
    </xf>
    <xf numFmtId="0" fontId="3" fillId="2" borderId="112" xfId="0" applyFont="1" applyFill="1" applyBorder="1" applyAlignment="1" applyProtection="1">
      <alignment vertical="center"/>
      <protection hidden="1"/>
    </xf>
    <xf numFmtId="0" fontId="3" fillId="2" borderId="113" xfId="0" applyFont="1" applyFill="1" applyBorder="1" applyAlignment="1" applyProtection="1">
      <alignment vertical="center"/>
      <protection hidden="1"/>
    </xf>
    <xf numFmtId="0" fontId="15" fillId="0" borderId="119" xfId="0" applyFont="1" applyBorder="1" applyAlignment="1" applyProtection="1">
      <alignment vertical="center"/>
      <protection hidden="1"/>
    </xf>
    <xf numFmtId="0" fontId="21" fillId="0" borderId="4" xfId="0" applyFont="1" applyBorder="1" applyAlignment="1" applyProtection="1">
      <alignment vertical="center"/>
      <protection hidden="1"/>
    </xf>
    <xf numFmtId="0" fontId="2" fillId="0" borderId="15" xfId="0" applyFont="1" applyBorder="1" applyAlignment="1" applyProtection="1">
      <alignment vertical="center"/>
      <protection hidden="1"/>
    </xf>
    <xf numFmtId="164" fontId="8" fillId="4" borderId="3" xfId="2" applyNumberFormat="1" applyFont="1" applyFill="1" applyBorder="1" applyAlignment="1" applyProtection="1">
      <alignment vertical="center"/>
      <protection locked="0"/>
    </xf>
    <xf numFmtId="0" fontId="2" fillId="0" borderId="15" xfId="0" applyFont="1" applyBorder="1" applyAlignment="1" applyProtection="1">
      <alignment horizontal="left" vertical="center"/>
      <protection hidden="1"/>
    </xf>
    <xf numFmtId="0" fontId="3" fillId="2" borderId="0" xfId="0" applyFont="1" applyFill="1" applyAlignment="1" applyProtection="1">
      <alignment vertical="center"/>
      <protection hidden="1"/>
    </xf>
    <xf numFmtId="0" fontId="38" fillId="2" borderId="0" xfId="0" applyFont="1" applyFill="1" applyProtection="1">
      <protection hidden="1"/>
    </xf>
    <xf numFmtId="0" fontId="38" fillId="2" borderId="0" xfId="0" applyFont="1" applyFill="1" applyAlignment="1" applyProtection="1">
      <alignment vertical="center"/>
      <protection hidden="1"/>
    </xf>
    <xf numFmtId="0" fontId="31" fillId="2" borderId="0" xfId="0" applyFont="1" applyFill="1" applyAlignment="1" applyProtection="1">
      <alignment vertical="center"/>
      <protection hidden="1"/>
    </xf>
    <xf numFmtId="0" fontId="2" fillId="0" borderId="7" xfId="0" applyFont="1" applyBorder="1"/>
    <xf numFmtId="6" fontId="3" fillId="0" borderId="6" xfId="0" applyNumberFormat="1" applyFont="1" applyBorder="1" applyAlignment="1" applyProtection="1">
      <alignment vertical="center"/>
      <protection hidden="1"/>
    </xf>
    <xf numFmtId="0" fontId="8" fillId="4" borderId="7" xfId="0" applyFont="1" applyFill="1" applyBorder="1" applyAlignment="1" applyProtection="1">
      <alignment horizontal="center" vertical="center"/>
      <protection locked="0"/>
    </xf>
    <xf numFmtId="0" fontId="3" fillId="2" borderId="28" xfId="0" applyFont="1" applyFill="1" applyBorder="1" applyAlignment="1">
      <alignment horizontal="center" vertical="center"/>
    </xf>
    <xf numFmtId="0" fontId="15" fillId="0" borderId="6" xfId="0" applyFont="1" applyBorder="1" applyAlignment="1" applyProtection="1">
      <alignment vertical="center"/>
      <protection hidden="1"/>
    </xf>
    <xf numFmtId="0" fontId="0" fillId="0" borderId="0" xfId="0" applyAlignment="1">
      <alignment horizontal="left" vertical="center" wrapText="1"/>
    </xf>
    <xf numFmtId="10" fontId="8" fillId="4" borderId="14" xfId="0" applyNumberFormat="1" applyFont="1" applyFill="1" applyBorder="1" applyAlignment="1" applyProtection="1">
      <alignment vertical="center"/>
      <protection locked="0"/>
    </xf>
    <xf numFmtId="0" fontId="8" fillId="3" borderId="27" xfId="0" applyFont="1" applyFill="1" applyBorder="1" applyAlignment="1" applyProtection="1">
      <alignment horizontal="center" vertical="center"/>
      <protection hidden="1"/>
    </xf>
    <xf numFmtId="0" fontId="3" fillId="2" borderId="30" xfId="0" applyFont="1" applyFill="1" applyBorder="1" applyAlignment="1" applyProtection="1">
      <alignment vertical="center"/>
      <protection hidden="1"/>
    </xf>
    <xf numFmtId="0" fontId="38" fillId="2" borderId="9" xfId="0" applyFont="1" applyFill="1" applyBorder="1" applyProtection="1">
      <protection hidden="1"/>
    </xf>
    <xf numFmtId="0" fontId="38" fillId="2" borderId="121" xfId="0" applyFont="1" applyFill="1" applyBorder="1" applyProtection="1">
      <protection hidden="1"/>
    </xf>
    <xf numFmtId="0" fontId="3" fillId="2" borderId="16" xfId="0" applyFont="1" applyFill="1" applyBorder="1" applyAlignment="1" applyProtection="1">
      <alignment vertical="center"/>
      <protection hidden="1"/>
    </xf>
    <xf numFmtId="0" fontId="38" fillId="2" borderId="11" xfId="0" applyFont="1" applyFill="1" applyBorder="1" applyProtection="1">
      <protection hidden="1"/>
    </xf>
    <xf numFmtId="0" fontId="38" fillId="2" borderId="122" xfId="0" applyFont="1" applyFill="1" applyBorder="1" applyProtection="1">
      <protection hidden="1"/>
    </xf>
    <xf numFmtId="0" fontId="2" fillId="0" borderId="19" xfId="0" applyFont="1" applyBorder="1" applyAlignment="1" applyProtection="1">
      <alignment horizontal="center" vertical="center"/>
      <protection hidden="1"/>
    </xf>
    <xf numFmtId="0" fontId="2" fillId="6" borderId="14"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3" fillId="2" borderId="143" xfId="0" applyFont="1" applyFill="1" applyBorder="1" applyAlignment="1" applyProtection="1">
      <alignment vertical="center"/>
      <protection hidden="1"/>
    </xf>
    <xf numFmtId="0" fontId="38" fillId="0" borderId="0" xfId="0" applyFont="1" applyAlignment="1" applyProtection="1">
      <alignment horizontal="center" vertical="center"/>
      <protection hidden="1"/>
    </xf>
    <xf numFmtId="0" fontId="40" fillId="0" borderId="7" xfId="0" applyFont="1" applyBorder="1" applyProtection="1">
      <protection hidden="1"/>
    </xf>
    <xf numFmtId="0" fontId="2" fillId="0" borderId="20" xfId="0" applyFont="1" applyBorder="1" applyAlignment="1" applyProtection="1">
      <alignment horizontal="center" vertical="center"/>
      <protection hidden="1"/>
    </xf>
    <xf numFmtId="0" fontId="12" fillId="8" borderId="38" xfId="0" applyFont="1" applyFill="1" applyBorder="1" applyAlignment="1" applyProtection="1">
      <alignment vertical="center"/>
      <protection hidden="1"/>
    </xf>
    <xf numFmtId="0" fontId="2" fillId="0" borderId="131" xfId="0" applyFont="1" applyBorder="1" applyAlignment="1" applyProtection="1">
      <alignment vertical="center"/>
      <protection hidden="1"/>
    </xf>
    <xf numFmtId="0" fontId="2" fillId="0" borderId="132" xfId="0" applyFont="1" applyBorder="1" applyProtection="1">
      <protection hidden="1"/>
    </xf>
    <xf numFmtId="0" fontId="3" fillId="2" borderId="6" xfId="0" applyFont="1" applyFill="1" applyBorder="1" applyAlignment="1" applyProtection="1">
      <alignment vertical="center"/>
      <protection hidden="1"/>
    </xf>
    <xf numFmtId="0" fontId="38" fillId="2" borderId="7" xfId="0" applyFont="1" applyFill="1" applyBorder="1" applyProtection="1">
      <protection hidden="1"/>
    </xf>
    <xf numFmtId="0" fontId="0" fillId="0" borderId="124" xfId="0" applyBorder="1" applyAlignment="1">
      <alignment vertical="center"/>
    </xf>
    <xf numFmtId="0" fontId="7" fillId="0" borderId="73" xfId="0" applyFont="1" applyBorder="1" applyAlignment="1" applyProtection="1">
      <alignment vertical="center"/>
      <protection hidden="1"/>
    </xf>
    <xf numFmtId="0" fontId="31" fillId="0" borderId="0" xfId="0" applyFont="1" applyProtection="1">
      <protection hidden="1"/>
    </xf>
    <xf numFmtId="10" fontId="8" fillId="4" borderId="8" xfId="0" applyNumberFormat="1" applyFont="1" applyFill="1" applyBorder="1" applyAlignment="1" applyProtection="1">
      <alignment horizontal="center" vertical="center"/>
      <protection locked="0"/>
    </xf>
    <xf numFmtId="0" fontId="2" fillId="0" borderId="7" xfId="0" applyFont="1" applyBorder="1" applyAlignment="1" applyProtection="1">
      <alignment vertical="center"/>
      <protection locked="0"/>
    </xf>
    <xf numFmtId="9" fontId="8" fillId="4" borderId="8" xfId="0" applyNumberFormat="1" applyFont="1" applyFill="1" applyBorder="1" applyAlignment="1" applyProtection="1">
      <alignment horizontal="center" vertical="center"/>
      <protection locked="0"/>
    </xf>
    <xf numFmtId="9" fontId="8" fillId="4" borderId="8" xfId="3" applyFont="1" applyFill="1" applyBorder="1" applyAlignment="1" applyProtection="1">
      <alignment horizontal="center" vertical="center"/>
      <protection locked="0"/>
    </xf>
    <xf numFmtId="9" fontId="8" fillId="4" borderId="14" xfId="3" applyFont="1" applyFill="1" applyBorder="1" applyAlignment="1" applyProtection="1">
      <alignment horizontal="center" vertical="center"/>
      <protection locked="0"/>
    </xf>
    <xf numFmtId="9" fontId="7" fillId="4" borderId="14" xfId="3" applyFont="1" applyFill="1" applyBorder="1" applyAlignment="1" applyProtection="1">
      <alignment horizontal="center" vertical="center"/>
      <protection locked="0"/>
    </xf>
    <xf numFmtId="0" fontId="2" fillId="4" borderId="14" xfId="0" applyFont="1" applyFill="1" applyBorder="1" applyAlignment="1" applyProtection="1">
      <alignment horizontal="center" vertical="center"/>
      <protection locked="0"/>
    </xf>
    <xf numFmtId="9" fontId="2" fillId="4" borderId="14" xfId="0" applyNumberFormat="1" applyFont="1" applyFill="1" applyBorder="1" applyAlignment="1" applyProtection="1">
      <alignment horizontal="center" vertical="center"/>
      <protection locked="0"/>
    </xf>
    <xf numFmtId="0" fontId="33" fillId="0" borderId="0" xfId="0" applyFont="1" applyAlignment="1" applyProtection="1">
      <alignment vertical="center" wrapText="1"/>
      <protection hidden="1"/>
    </xf>
    <xf numFmtId="0" fontId="12" fillId="8" borderId="33" xfId="0" applyFont="1" applyFill="1" applyBorder="1" applyAlignment="1" applyProtection="1">
      <alignment horizontal="left" vertical="center"/>
      <protection hidden="1"/>
    </xf>
    <xf numFmtId="0" fontId="3" fillId="3" borderId="143" xfId="0" applyFont="1" applyFill="1" applyBorder="1" applyAlignment="1" applyProtection="1">
      <alignment vertical="center"/>
      <protection hidden="1"/>
    </xf>
    <xf numFmtId="0" fontId="31" fillId="3" borderId="40" xfId="0" applyFont="1" applyFill="1" applyBorder="1" applyProtection="1">
      <protection hidden="1"/>
    </xf>
    <xf numFmtId="0" fontId="3" fillId="3" borderId="161" xfId="0" applyFont="1" applyFill="1" applyBorder="1" applyAlignment="1" applyProtection="1">
      <alignment vertical="center"/>
      <protection hidden="1"/>
    </xf>
    <xf numFmtId="0" fontId="31" fillId="3" borderId="162" xfId="0" applyFont="1" applyFill="1" applyBorder="1" applyProtection="1">
      <protection hidden="1"/>
    </xf>
    <xf numFmtId="0" fontId="3" fillId="3" borderId="165" xfId="0" applyFont="1" applyFill="1" applyBorder="1" applyAlignment="1" applyProtection="1">
      <alignment vertical="center"/>
      <protection hidden="1"/>
    </xf>
    <xf numFmtId="0" fontId="31" fillId="3" borderId="166" xfId="0" applyFont="1" applyFill="1" applyBorder="1" applyProtection="1">
      <protection hidden="1"/>
    </xf>
    <xf numFmtId="0" fontId="0" fillId="0" borderId="168" xfId="0" applyBorder="1" applyAlignment="1">
      <alignment vertical="center"/>
    </xf>
    <xf numFmtId="164" fontId="9" fillId="4" borderId="7" xfId="2" applyNumberFormat="1" applyFont="1" applyFill="1" applyBorder="1" applyAlignment="1" applyProtection="1">
      <alignment vertical="center"/>
      <protection locked="0"/>
    </xf>
    <xf numFmtId="0" fontId="2" fillId="0" borderId="169" xfId="0" applyFont="1" applyBorder="1" applyAlignment="1">
      <alignment vertical="center"/>
    </xf>
    <xf numFmtId="0" fontId="15" fillId="0" borderId="147" xfId="0" applyFont="1" applyBorder="1" applyAlignment="1" applyProtection="1">
      <alignment vertical="center"/>
      <protection hidden="1"/>
    </xf>
    <xf numFmtId="0" fontId="2" fillId="0" borderId="172" xfId="0" applyFont="1" applyBorder="1" applyAlignment="1" applyProtection="1">
      <alignment vertical="center"/>
      <protection hidden="1"/>
    </xf>
    <xf numFmtId="0" fontId="31" fillId="0" borderId="0" xfId="0" applyFont="1" applyAlignment="1" applyProtection="1">
      <alignment vertical="center"/>
      <protection hidden="1"/>
    </xf>
    <xf numFmtId="0" fontId="10" fillId="0" borderId="0" xfId="0" applyFont="1" applyAlignment="1" applyProtection="1">
      <alignment vertical="center"/>
      <protection hidden="1"/>
    </xf>
    <xf numFmtId="0" fontId="21" fillId="0" borderId="6" xfId="0" applyFont="1" applyBorder="1" applyAlignment="1">
      <alignment vertical="center"/>
    </xf>
    <xf numFmtId="0" fontId="0" fillId="0" borderId="7" xfId="0" applyBorder="1" applyAlignment="1">
      <alignment vertical="center" wrapText="1"/>
    </xf>
    <xf numFmtId="0" fontId="0" fillId="0" borderId="7" xfId="0" applyBorder="1"/>
    <xf numFmtId="164" fontId="9" fillId="4" borderId="8" xfId="2" applyNumberFormat="1" applyFont="1" applyFill="1" applyBorder="1" applyAlignment="1" applyProtection="1">
      <alignment vertical="center"/>
      <protection locked="0"/>
    </xf>
    <xf numFmtId="0" fontId="7" fillId="0" borderId="0" xfId="0" applyFont="1" applyAlignment="1">
      <alignment vertical="center"/>
    </xf>
    <xf numFmtId="0" fontId="2" fillId="0" borderId="8" xfId="0" applyFont="1" applyBorder="1" applyAlignment="1" applyProtection="1">
      <alignment vertical="center"/>
      <protection hidden="1"/>
    </xf>
    <xf numFmtId="0" fontId="0" fillId="0" borderId="0" xfId="0" applyAlignment="1" applyProtection="1">
      <alignment horizontal="center" vertical="center"/>
      <protection hidden="1"/>
    </xf>
    <xf numFmtId="0" fontId="3" fillId="2" borderId="102" xfId="0" applyFont="1" applyFill="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1" fillId="0" borderId="7" xfId="0" applyFont="1" applyBorder="1" applyAlignment="1">
      <alignment vertical="center"/>
    </xf>
    <xf numFmtId="0" fontId="0" fillId="0" borderId="8" xfId="0" applyBorder="1" applyProtection="1">
      <protection hidden="1"/>
    </xf>
    <xf numFmtId="0" fontId="21" fillId="0" borderId="8" xfId="0" applyFont="1" applyBorder="1" applyAlignment="1">
      <alignment vertical="center"/>
    </xf>
    <xf numFmtId="0" fontId="0" fillId="0" borderId="8" xfId="0" applyBorder="1"/>
    <xf numFmtId="0" fontId="3" fillId="2" borderId="6" xfId="0" applyFont="1" applyFill="1" applyBorder="1" applyAlignment="1">
      <alignment vertical="center"/>
    </xf>
    <xf numFmtId="0" fontId="31" fillId="2" borderId="7" xfId="0" applyFont="1" applyFill="1" applyBorder="1"/>
    <xf numFmtId="0" fontId="31" fillId="2" borderId="0" xfId="0" applyFont="1" applyFill="1"/>
    <xf numFmtId="0" fontId="31" fillId="2" borderId="179" xfId="0" applyFont="1" applyFill="1" applyBorder="1"/>
    <xf numFmtId="0" fontId="0" fillId="0" borderId="179" xfId="0" applyBorder="1"/>
    <xf numFmtId="0" fontId="31" fillId="2" borderId="180" xfId="0" applyFont="1" applyFill="1" applyBorder="1"/>
    <xf numFmtId="0" fontId="0" fillId="9" borderId="38" xfId="0" applyFill="1" applyBorder="1"/>
    <xf numFmtId="0" fontId="0" fillId="9" borderId="182" xfId="0" applyFill="1" applyBorder="1"/>
    <xf numFmtId="0" fontId="0" fillId="9" borderId="33" xfId="0" applyFill="1" applyBorder="1"/>
    <xf numFmtId="0" fontId="0" fillId="9" borderId="183" xfId="0" applyFill="1" applyBorder="1"/>
    <xf numFmtId="0" fontId="2" fillId="9" borderId="30" xfId="0" applyFont="1" applyFill="1" applyBorder="1" applyAlignment="1">
      <alignment vertical="center"/>
    </xf>
    <xf numFmtId="0" fontId="0" fillId="9" borderId="9" xfId="0" applyFill="1" applyBorder="1"/>
    <xf numFmtId="0" fontId="0" fillId="9" borderId="184" xfId="0" applyFill="1" applyBorder="1"/>
    <xf numFmtId="0" fontId="2" fillId="9" borderId="143" xfId="0" applyFont="1" applyFill="1" applyBorder="1" applyAlignment="1">
      <alignment vertical="center"/>
    </xf>
    <xf numFmtId="0" fontId="2" fillId="9" borderId="185" xfId="0" applyFont="1" applyFill="1" applyBorder="1" applyAlignment="1">
      <alignment vertical="center"/>
    </xf>
    <xf numFmtId="0" fontId="22" fillId="9" borderId="26" xfId="0" applyFont="1" applyFill="1" applyBorder="1" applyAlignment="1">
      <alignment vertical="top"/>
    </xf>
    <xf numFmtId="0" fontId="0" fillId="9" borderId="4" xfId="0" applyFill="1" applyBorder="1"/>
    <xf numFmtId="0" fontId="0" fillId="9" borderId="178" xfId="0" applyFill="1" applyBorder="1"/>
    <xf numFmtId="0" fontId="2" fillId="9" borderId="13" xfId="0" applyFont="1" applyFill="1" applyBorder="1" applyAlignment="1" applyProtection="1">
      <alignment horizontal="center" vertical="center"/>
      <protection hidden="1"/>
    </xf>
    <xf numFmtId="0" fontId="42" fillId="0" borderId="0" xfId="0" applyFont="1"/>
    <xf numFmtId="1" fontId="0" fillId="0" borderId="0" xfId="0" applyNumberFormat="1" applyProtection="1">
      <protection hidden="1"/>
    </xf>
    <xf numFmtId="0" fontId="3" fillId="2" borderId="150" xfId="0" applyFont="1" applyFill="1" applyBorder="1" applyAlignment="1">
      <alignment horizontal="center" vertical="center"/>
    </xf>
    <xf numFmtId="0" fontId="0" fillId="0" borderId="35" xfId="0" applyBorder="1"/>
    <xf numFmtId="0" fontId="0" fillId="0" borderId="35" xfId="0" applyBorder="1" applyProtection="1">
      <protection hidden="1"/>
    </xf>
    <xf numFmtId="0" fontId="0" fillId="0" borderId="0" xfId="0" applyAlignment="1" applyProtection="1">
      <alignment horizontal="right"/>
      <protection hidden="1"/>
    </xf>
    <xf numFmtId="0" fontId="8" fillId="4" borderId="7" xfId="0" applyFont="1" applyFill="1" applyBorder="1" applyAlignment="1" applyProtection="1">
      <alignment vertical="center"/>
      <protection locked="0"/>
    </xf>
    <xf numFmtId="9" fontId="8" fillId="4" borderId="8" xfId="0" applyNumberFormat="1" applyFont="1" applyFill="1" applyBorder="1" applyAlignment="1" applyProtection="1">
      <alignment vertical="center"/>
      <protection locked="0"/>
    </xf>
    <xf numFmtId="0" fontId="1" fillId="0" borderId="0" xfId="5" applyFont="1" applyAlignment="1" applyProtection="1">
      <alignment vertical="center"/>
      <protection hidden="1"/>
    </xf>
    <xf numFmtId="0" fontId="0" fillId="0" borderId="64" xfId="0" applyBorder="1" applyProtection="1">
      <protection hidden="1"/>
    </xf>
    <xf numFmtId="0" fontId="0" fillId="6" borderId="199" xfId="0" applyFill="1" applyBorder="1" applyAlignment="1" applyProtection="1">
      <alignment horizontal="center" vertical="center"/>
      <protection hidden="1"/>
    </xf>
    <xf numFmtId="164" fontId="0" fillId="6" borderId="200" xfId="0" applyNumberFormat="1" applyFill="1" applyBorder="1" applyAlignment="1" applyProtection="1">
      <alignment vertical="center"/>
      <protection hidden="1"/>
    </xf>
    <xf numFmtId="2" fontId="0" fillId="6" borderId="200" xfId="0" applyNumberFormat="1" applyFill="1" applyBorder="1" applyAlignment="1" applyProtection="1">
      <alignment vertical="center"/>
      <protection hidden="1"/>
    </xf>
    <xf numFmtId="164" fontId="0" fillId="6" borderId="200" xfId="2" applyNumberFormat="1" applyFont="1" applyFill="1" applyBorder="1" applyAlignment="1" applyProtection="1">
      <alignment vertical="center"/>
      <protection hidden="1"/>
    </xf>
    <xf numFmtId="0" fontId="34" fillId="10" borderId="0" xfId="0" applyFont="1" applyFill="1" applyAlignment="1" applyProtection="1">
      <alignment horizontal="center" vertical="center"/>
      <protection hidden="1"/>
    </xf>
    <xf numFmtId="0" fontId="9" fillId="4" borderId="0" xfId="0" applyFont="1" applyFill="1" applyAlignment="1" applyProtection="1">
      <alignment horizontal="left" vertical="center"/>
      <protection locked="0"/>
    </xf>
    <xf numFmtId="0" fontId="8" fillId="0" borderId="0" xfId="0" applyFont="1" applyAlignment="1" applyProtection="1">
      <alignment horizontal="left" vertical="center"/>
      <protection hidden="1"/>
    </xf>
    <xf numFmtId="0" fontId="0" fillId="12" borderId="0" xfId="0" applyFill="1" applyAlignment="1" applyProtection="1">
      <alignment horizontal="left" vertical="center" wrapText="1" indent="1"/>
      <protection hidden="1"/>
    </xf>
    <xf numFmtId="0" fontId="0" fillId="11" borderId="0" xfId="0" applyFill="1" applyAlignment="1" applyProtection="1">
      <alignment horizontal="left" vertical="center" wrapText="1" indent="1"/>
      <protection hidden="1"/>
    </xf>
    <xf numFmtId="0" fontId="43" fillId="3" borderId="0" xfId="1" applyFont="1" applyFill="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24" fillId="10" borderId="0" xfId="1" applyFont="1" applyFill="1" applyAlignment="1" applyProtection="1">
      <alignment horizontal="center" vertical="center" wrapText="1"/>
      <protection hidden="1"/>
    </xf>
    <xf numFmtId="0" fontId="32" fillId="3" borderId="0" xfId="1" applyFont="1" applyFill="1" applyAlignment="1" applyProtection="1">
      <alignment horizontal="center" vertical="center" wrapText="1"/>
      <protection hidden="1"/>
    </xf>
    <xf numFmtId="0" fontId="0" fillId="12" borderId="0" xfId="0" applyFill="1" applyAlignment="1" applyProtection="1">
      <alignment horizontal="left" vertical="center" wrapText="1"/>
      <protection hidden="1"/>
    </xf>
    <xf numFmtId="164" fontId="38" fillId="0" borderId="0" xfId="0" applyNumberFormat="1" applyFont="1" applyAlignment="1" applyProtection="1">
      <alignment horizontal="center" vertical="center"/>
      <protection hidden="1"/>
    </xf>
    <xf numFmtId="164" fontId="38" fillId="0" borderId="0" xfId="0" applyNumberFormat="1" applyFont="1" applyAlignment="1" applyProtection="1">
      <alignment vertical="center"/>
      <protection hidden="1"/>
    </xf>
    <xf numFmtId="0" fontId="38" fillId="0" borderId="0" xfId="0" applyFont="1" applyAlignment="1" applyProtection="1">
      <alignment vertical="center"/>
      <protection hidden="1"/>
    </xf>
    <xf numFmtId="164" fontId="38" fillId="0" borderId="2" xfId="0" applyNumberFormat="1" applyFont="1" applyBorder="1" applyAlignment="1" applyProtection="1">
      <alignment horizontal="center" vertical="center"/>
      <protection hidden="1"/>
    </xf>
    <xf numFmtId="0" fontId="12" fillId="8" borderId="37" xfId="0" applyFont="1" applyFill="1" applyBorder="1" applyAlignment="1" applyProtection="1">
      <alignment horizontal="left" vertical="center"/>
      <protection hidden="1"/>
    </xf>
    <xf numFmtId="10" fontId="9" fillId="4" borderId="7" xfId="3" applyNumberFormat="1" applyFont="1" applyFill="1" applyBorder="1" applyAlignment="1" applyProtection="1">
      <alignment vertical="center"/>
      <protection locked="0"/>
    </xf>
    <xf numFmtId="10" fontId="9" fillId="4" borderId="8" xfId="3" applyNumberFormat="1" applyFont="1" applyFill="1" applyBorder="1" applyAlignment="1" applyProtection="1">
      <alignment vertical="center"/>
      <protection locked="0"/>
    </xf>
    <xf numFmtId="0" fontId="2" fillId="0" borderId="6" xfId="0" applyFont="1" applyBorder="1" applyAlignment="1" applyProtection="1">
      <alignment vertical="center"/>
      <protection hidden="1"/>
    </xf>
    <xf numFmtId="0" fontId="2" fillId="0" borderId="7" xfId="0" applyFont="1" applyBorder="1" applyAlignment="1" applyProtection="1">
      <alignment vertical="center"/>
      <protection hidden="1"/>
    </xf>
    <xf numFmtId="0" fontId="3" fillId="2" borderId="27" xfId="0" applyFont="1" applyFill="1" applyBorder="1" applyAlignment="1" applyProtection="1">
      <alignment horizontal="center" vertical="center"/>
      <protection hidden="1"/>
    </xf>
    <xf numFmtId="0" fontId="3" fillId="2" borderId="28" xfId="0" applyFont="1" applyFill="1" applyBorder="1" applyAlignment="1" applyProtection="1">
      <alignment horizontal="center" vertical="center"/>
      <protection hidden="1"/>
    </xf>
    <xf numFmtId="164" fontId="3" fillId="3" borderId="166" xfId="2" applyNumberFormat="1" applyFont="1" applyFill="1" applyBorder="1" applyAlignment="1" applyProtection="1">
      <alignment vertical="center"/>
      <protection hidden="1"/>
    </xf>
    <xf numFmtId="164" fontId="3" fillId="3" borderId="166" xfId="2" applyNumberFormat="1" applyFont="1" applyFill="1" applyBorder="1" applyAlignment="1" applyProtection="1">
      <alignment horizontal="center" vertical="center"/>
      <protection hidden="1"/>
    </xf>
    <xf numFmtId="164" fontId="3" fillId="3" borderId="167" xfId="2" applyNumberFormat="1" applyFont="1" applyFill="1" applyBorder="1" applyAlignment="1" applyProtection="1">
      <alignment horizontal="center" vertical="center"/>
      <protection hidden="1"/>
    </xf>
    <xf numFmtId="0" fontId="23" fillId="7" borderId="0" xfId="1" applyFont="1" applyFill="1" applyAlignment="1" applyProtection="1">
      <alignment horizontal="center" vertical="center"/>
      <protection hidden="1"/>
    </xf>
    <xf numFmtId="0" fontId="5" fillId="0" borderId="0" xfId="0" applyFont="1" applyAlignment="1" applyProtection="1">
      <alignment horizontal="left" vertical="center"/>
      <protection hidden="1"/>
    </xf>
    <xf numFmtId="0" fontId="5" fillId="0" borderId="1" xfId="0" applyFont="1" applyBorder="1" applyAlignment="1" applyProtection="1">
      <alignment horizontal="left" vertical="center"/>
      <protection hidden="1"/>
    </xf>
    <xf numFmtId="0" fontId="23" fillId="13" borderId="0" xfId="0" applyFont="1" applyFill="1" applyAlignment="1">
      <alignment horizontal="center" vertical="center"/>
    </xf>
    <xf numFmtId="164" fontId="9" fillId="4" borderId="7" xfId="2" applyNumberFormat="1" applyFont="1" applyFill="1" applyBorder="1" applyAlignment="1" applyProtection="1">
      <alignment vertical="center"/>
      <protection locked="0"/>
    </xf>
    <xf numFmtId="164" fontId="9" fillId="4" borderId="8" xfId="2" applyNumberFormat="1" applyFont="1" applyFill="1" applyBorder="1" applyAlignment="1" applyProtection="1">
      <alignment vertical="center"/>
      <protection locked="0"/>
    </xf>
    <xf numFmtId="0" fontId="35" fillId="0" borderId="0" xfId="0" applyFont="1" applyAlignment="1" applyProtection="1">
      <alignment horizontal="left" vertical="center"/>
      <protection hidden="1"/>
    </xf>
    <xf numFmtId="0" fontId="35" fillId="0" borderId="4" xfId="0" applyFont="1" applyBorder="1" applyAlignment="1" applyProtection="1">
      <alignment horizontal="left" vertical="center"/>
      <protection hidden="1"/>
    </xf>
    <xf numFmtId="164" fontId="9" fillId="4" borderId="7" xfId="2" applyNumberFormat="1" applyFont="1" applyFill="1" applyBorder="1" applyAlignment="1" applyProtection="1">
      <alignment horizontal="right" vertical="center"/>
      <protection locked="0"/>
    </xf>
    <xf numFmtId="164" fontId="9" fillId="4" borderId="8" xfId="2" applyNumberFormat="1" applyFont="1" applyFill="1" applyBorder="1" applyAlignment="1" applyProtection="1">
      <alignment horizontal="right" vertical="center"/>
      <protection locked="0"/>
    </xf>
    <xf numFmtId="0" fontId="10" fillId="0" borderId="2" xfId="0" applyFont="1" applyBorder="1" applyAlignment="1" applyProtection="1">
      <alignment horizontal="center" vertical="center"/>
      <protection hidden="1"/>
    </xf>
    <xf numFmtId="0" fontId="3" fillId="2" borderId="29" xfId="0" applyFont="1" applyFill="1" applyBorder="1" applyAlignment="1" applyProtection="1">
      <alignment horizontal="center" vertical="center"/>
      <protection hidden="1"/>
    </xf>
    <xf numFmtId="164" fontId="8" fillId="0" borderId="6" xfId="2" applyNumberFormat="1" applyFont="1" applyBorder="1" applyAlignment="1" applyProtection="1">
      <alignment vertical="center"/>
      <protection hidden="1"/>
    </xf>
    <xf numFmtId="164" fontId="8" fillId="0" borderId="8" xfId="2" applyNumberFormat="1" applyFont="1" applyBorder="1" applyAlignment="1" applyProtection="1">
      <alignment vertical="center"/>
      <protection hidden="1"/>
    </xf>
    <xf numFmtId="164" fontId="8" fillId="0" borderId="6" xfId="2" applyNumberFormat="1" applyFont="1" applyBorder="1" applyAlignment="1" applyProtection="1">
      <alignment horizontal="center" vertical="center"/>
      <protection hidden="1"/>
    </xf>
    <xf numFmtId="164" fontId="8" fillId="0" borderId="7" xfId="2" applyNumberFormat="1" applyFont="1" applyBorder="1" applyAlignment="1" applyProtection="1">
      <alignment horizontal="center" vertical="center"/>
      <protection hidden="1"/>
    </xf>
    <xf numFmtId="164" fontId="8" fillId="0" borderId="8" xfId="2" applyNumberFormat="1" applyFont="1" applyBorder="1" applyAlignment="1" applyProtection="1">
      <alignment horizontal="center" vertical="center"/>
      <protection hidden="1"/>
    </xf>
    <xf numFmtId="0" fontId="37" fillId="4" borderId="0" xfId="1" applyFont="1" applyFill="1" applyAlignment="1">
      <alignment horizontal="center" vertical="center"/>
    </xf>
    <xf numFmtId="164" fontId="3" fillId="3" borderId="6" xfId="0" applyNumberFormat="1" applyFont="1" applyFill="1" applyBorder="1" applyAlignment="1" applyProtection="1">
      <alignment vertical="center"/>
      <protection hidden="1"/>
    </xf>
    <xf numFmtId="164" fontId="3" fillId="3" borderId="8" xfId="0" applyNumberFormat="1" applyFont="1" applyFill="1" applyBorder="1" applyAlignment="1" applyProtection="1">
      <alignment vertical="center"/>
      <protection hidden="1"/>
    </xf>
    <xf numFmtId="164" fontId="3" fillId="3" borderId="6" xfId="2" applyNumberFormat="1" applyFont="1" applyFill="1" applyBorder="1" applyAlignment="1" applyProtection="1">
      <alignment horizontal="center" vertical="center"/>
      <protection hidden="1"/>
    </xf>
    <xf numFmtId="164" fontId="3" fillId="3" borderId="7" xfId="2" applyNumberFormat="1" applyFont="1" applyFill="1" applyBorder="1" applyAlignment="1" applyProtection="1">
      <alignment horizontal="center" vertical="center"/>
      <protection hidden="1"/>
    </xf>
    <xf numFmtId="164" fontId="3" fillId="3" borderId="8" xfId="2" applyNumberFormat="1" applyFont="1" applyFill="1" applyBorder="1" applyAlignment="1" applyProtection="1">
      <alignment horizontal="center" vertical="center"/>
      <protection hidden="1"/>
    </xf>
    <xf numFmtId="164" fontId="3" fillId="3" borderId="163" xfId="2" applyNumberFormat="1" applyFont="1" applyFill="1" applyBorder="1" applyAlignment="1" applyProtection="1">
      <alignment vertical="center"/>
      <protection hidden="1"/>
    </xf>
    <xf numFmtId="164" fontId="3" fillId="3" borderId="163" xfId="2" applyNumberFormat="1" applyFont="1" applyFill="1" applyBorder="1" applyAlignment="1" applyProtection="1">
      <alignment horizontal="center" vertical="center"/>
      <protection hidden="1"/>
    </xf>
    <xf numFmtId="164" fontId="3" fillId="3" borderId="164" xfId="2" applyNumberFormat="1" applyFont="1" applyFill="1" applyBorder="1" applyAlignment="1" applyProtection="1">
      <alignment horizontal="center" vertical="center"/>
      <protection hidden="1"/>
    </xf>
    <xf numFmtId="0" fontId="8" fillId="3" borderId="28" xfId="0" applyFont="1" applyFill="1" applyBorder="1" applyAlignment="1" applyProtection="1">
      <alignment horizontal="center" vertical="center"/>
      <protection hidden="1"/>
    </xf>
    <xf numFmtId="0" fontId="8" fillId="3" borderId="29" xfId="0" applyFont="1" applyFill="1" applyBorder="1" applyAlignment="1" applyProtection="1">
      <alignment horizontal="center" vertical="center"/>
      <protection hidden="1"/>
    </xf>
    <xf numFmtId="164" fontId="38" fillId="0" borderId="2" xfId="0" applyNumberFormat="1" applyFont="1" applyBorder="1" applyAlignment="1" applyProtection="1">
      <alignment vertical="center"/>
      <protection hidden="1"/>
    </xf>
    <xf numFmtId="0" fontId="38" fillId="0" borderId="2" xfId="0" applyFont="1" applyBorder="1" applyAlignment="1" applyProtection="1">
      <alignment vertical="center"/>
      <protection hidden="1"/>
    </xf>
    <xf numFmtId="164" fontId="38" fillId="0" borderId="0" xfId="2" applyNumberFormat="1" applyFont="1" applyAlignment="1" applyProtection="1">
      <alignment vertical="center"/>
      <protection hidden="1"/>
    </xf>
    <xf numFmtId="164" fontId="38" fillId="0" borderId="0" xfId="2" applyNumberFormat="1" applyFont="1" applyBorder="1" applyAlignment="1" applyProtection="1">
      <alignment vertical="center"/>
      <protection hidden="1"/>
    </xf>
    <xf numFmtId="164" fontId="38" fillId="0" borderId="2" xfId="2" applyNumberFormat="1" applyFont="1" applyBorder="1" applyAlignment="1" applyProtection="1">
      <alignment vertical="center"/>
      <protection hidden="1"/>
    </xf>
    <xf numFmtId="0" fontId="7" fillId="0" borderId="0" xfId="0" applyFont="1" applyAlignment="1" applyProtection="1">
      <alignment horizontal="right" vertical="center"/>
      <protection hidden="1"/>
    </xf>
    <xf numFmtId="164" fontId="3" fillId="2" borderId="7" xfId="0" applyNumberFormat="1" applyFont="1" applyFill="1" applyBorder="1" applyAlignment="1" applyProtection="1">
      <alignment vertical="center"/>
      <protection hidden="1"/>
    </xf>
    <xf numFmtId="164" fontId="3" fillId="2" borderId="8" xfId="0" applyNumberFormat="1" applyFont="1" applyFill="1" applyBorder="1" applyAlignment="1" applyProtection="1">
      <alignment vertical="center"/>
      <protection hidden="1"/>
    </xf>
    <xf numFmtId="0" fontId="12" fillId="8" borderId="33" xfId="0" applyFont="1" applyFill="1" applyBorder="1" applyAlignment="1" applyProtection="1">
      <alignment horizontal="left" vertical="center"/>
      <protection hidden="1"/>
    </xf>
    <xf numFmtId="9" fontId="9" fillId="4" borderId="7" xfId="3" applyFont="1" applyFill="1" applyBorder="1" applyAlignment="1" applyProtection="1">
      <alignment vertical="center"/>
      <protection locked="0"/>
    </xf>
    <xf numFmtId="9" fontId="9" fillId="4" borderId="8" xfId="3" applyFont="1" applyFill="1" applyBorder="1" applyAlignment="1" applyProtection="1">
      <alignment vertical="center"/>
      <protection locked="0"/>
    </xf>
    <xf numFmtId="0" fontId="2" fillId="0" borderId="7" xfId="0" applyFont="1" applyBorder="1" applyProtection="1">
      <protection hidden="1"/>
    </xf>
    <xf numFmtId="164" fontId="2" fillId="6" borderId="6" xfId="2" applyNumberFormat="1" applyFont="1" applyFill="1" applyBorder="1" applyAlignment="1" applyProtection="1">
      <alignment horizontal="right" vertical="center"/>
      <protection hidden="1"/>
    </xf>
    <xf numFmtId="164" fontId="2" fillId="6" borderId="8" xfId="2" applyNumberFormat="1" applyFont="1" applyFill="1" applyBorder="1" applyAlignment="1" applyProtection="1">
      <alignment horizontal="right" vertical="center"/>
      <protection hidden="1"/>
    </xf>
    <xf numFmtId="164" fontId="2" fillId="0" borderId="6" xfId="2" applyNumberFormat="1" applyFont="1" applyBorder="1" applyAlignment="1" applyProtection="1">
      <alignment horizontal="right" vertical="center"/>
      <protection hidden="1"/>
    </xf>
    <xf numFmtId="164" fontId="2" fillId="0" borderId="8" xfId="2" applyNumberFormat="1" applyFont="1" applyBorder="1" applyAlignment="1" applyProtection="1">
      <alignment horizontal="right" vertical="center"/>
      <protection hidden="1"/>
    </xf>
    <xf numFmtId="0" fontId="14" fillId="0" borderId="4" xfId="0" applyFont="1" applyBorder="1" applyAlignment="1" applyProtection="1">
      <alignment horizontal="center" vertical="center"/>
      <protection hidden="1"/>
    </xf>
    <xf numFmtId="164" fontId="2" fillId="0" borderId="14" xfId="2" applyNumberFormat="1" applyFont="1" applyBorder="1" applyAlignment="1" applyProtection="1">
      <alignment horizontal="right" vertical="center"/>
      <protection hidden="1"/>
    </xf>
    <xf numFmtId="164" fontId="2" fillId="6" borderId="14" xfId="2" applyNumberFormat="1" applyFont="1" applyFill="1" applyBorder="1" applyAlignment="1" applyProtection="1">
      <alignment horizontal="right" vertical="center"/>
      <protection hidden="1"/>
    </xf>
    <xf numFmtId="10" fontId="8" fillId="4" borderId="7" xfId="0" applyNumberFormat="1" applyFont="1" applyFill="1" applyBorder="1" applyAlignment="1" applyProtection="1">
      <alignment vertical="center"/>
      <protection locked="0"/>
    </xf>
    <xf numFmtId="10" fontId="8" fillId="4" borderId="8" xfId="0" applyNumberFormat="1" applyFont="1" applyFill="1" applyBorder="1" applyAlignment="1" applyProtection="1">
      <alignment vertical="center"/>
      <protection locked="0"/>
    </xf>
    <xf numFmtId="0" fontId="5" fillId="0" borderId="120" xfId="0" applyFont="1" applyBorder="1" applyAlignment="1" applyProtection="1">
      <alignment horizontal="left" vertical="center"/>
      <protection hidden="1"/>
    </xf>
    <xf numFmtId="0" fontId="8" fillId="3" borderId="45" xfId="0" applyFont="1" applyFill="1" applyBorder="1" applyAlignment="1" applyProtection="1">
      <alignment horizontal="center" vertical="center"/>
      <protection hidden="1"/>
    </xf>
    <xf numFmtId="0" fontId="8" fillId="3" borderId="47" xfId="0" applyFont="1" applyFill="1" applyBorder="1" applyAlignment="1" applyProtection="1">
      <alignment horizontal="center" vertical="center"/>
      <protection hidden="1"/>
    </xf>
    <xf numFmtId="0" fontId="8" fillId="3" borderId="41" xfId="0" applyFont="1" applyFill="1" applyBorder="1" applyAlignment="1" applyProtection="1">
      <alignment horizontal="center" vertical="center" wrapText="1"/>
      <protection hidden="1"/>
    </xf>
    <xf numFmtId="0" fontId="8" fillId="3" borderId="48" xfId="0" applyFont="1" applyFill="1" applyBorder="1" applyAlignment="1" applyProtection="1">
      <alignment horizontal="center" vertical="center" wrapText="1"/>
      <protection hidden="1"/>
    </xf>
    <xf numFmtId="0" fontId="8" fillId="3" borderId="46" xfId="0" applyFont="1" applyFill="1" applyBorder="1" applyAlignment="1" applyProtection="1">
      <alignment horizontal="center" vertical="center" wrapText="1"/>
      <protection hidden="1"/>
    </xf>
    <xf numFmtId="0" fontId="8" fillId="3" borderId="49" xfId="0" applyFont="1" applyFill="1" applyBorder="1" applyAlignment="1" applyProtection="1">
      <alignment horizontal="center" vertical="center" wrapText="1"/>
      <protection hidden="1"/>
    </xf>
    <xf numFmtId="164" fontId="2" fillId="0" borderId="19" xfId="2" applyNumberFormat="1" applyFont="1" applyBorder="1" applyAlignment="1" applyProtection="1">
      <alignment horizontal="right" vertical="center"/>
      <protection hidden="1"/>
    </xf>
    <xf numFmtId="164" fontId="2" fillId="0" borderId="3" xfId="2" applyNumberFormat="1" applyFont="1" applyBorder="1" applyAlignment="1" applyProtection="1">
      <alignment horizontal="right" vertical="center"/>
      <protection hidden="1"/>
    </xf>
    <xf numFmtId="0" fontId="8" fillId="3" borderId="41" xfId="0" applyFont="1" applyFill="1" applyBorder="1" applyAlignment="1" applyProtection="1">
      <alignment horizontal="center" vertical="center"/>
      <protection hidden="1"/>
    </xf>
    <xf numFmtId="0" fontId="8" fillId="3" borderId="48" xfId="0" applyFont="1" applyFill="1" applyBorder="1" applyAlignment="1" applyProtection="1">
      <alignment horizontal="center" vertical="center"/>
      <protection hidden="1"/>
    </xf>
    <xf numFmtId="10" fontId="3" fillId="2" borderId="9" xfId="3" applyNumberFormat="1" applyFont="1" applyFill="1" applyBorder="1" applyAlignment="1" applyProtection="1">
      <alignment horizontal="right" vertical="center"/>
      <protection hidden="1"/>
    </xf>
    <xf numFmtId="10" fontId="3" fillId="2" borderId="10" xfId="3" applyNumberFormat="1" applyFont="1" applyFill="1" applyBorder="1" applyAlignment="1" applyProtection="1">
      <alignment horizontal="right" vertical="center"/>
      <protection hidden="1"/>
    </xf>
    <xf numFmtId="164" fontId="3" fillId="2" borderId="11" xfId="2" applyNumberFormat="1" applyFont="1" applyFill="1" applyBorder="1" applyAlignment="1" applyProtection="1">
      <alignment horizontal="center" vertical="center"/>
      <protection hidden="1"/>
    </xf>
    <xf numFmtId="164" fontId="3" fillId="2" borderId="12" xfId="2" applyNumberFormat="1" applyFont="1" applyFill="1" applyBorder="1" applyAlignment="1" applyProtection="1">
      <alignment horizontal="center" vertical="center"/>
      <protection hidden="1"/>
    </xf>
    <xf numFmtId="164" fontId="2" fillId="0" borderId="6" xfId="0" applyNumberFormat="1" applyFont="1" applyBorder="1" applyAlignment="1" applyProtection="1">
      <alignment vertical="center"/>
      <protection hidden="1"/>
    </xf>
    <xf numFmtId="164" fontId="2" fillId="0" borderId="8" xfId="0" applyNumberFormat="1" applyFont="1" applyBorder="1" applyAlignment="1" applyProtection="1">
      <alignment vertical="center"/>
      <protection hidden="1"/>
    </xf>
    <xf numFmtId="0" fontId="8" fillId="3" borderId="27" xfId="0" applyFont="1" applyFill="1" applyBorder="1" applyAlignment="1" applyProtection="1">
      <alignment horizontal="center" vertical="center"/>
      <protection hidden="1"/>
    </xf>
    <xf numFmtId="0" fontId="15" fillId="0" borderId="6" xfId="0" applyFont="1" applyBorder="1" applyAlignment="1" applyProtection="1">
      <alignment vertical="center"/>
      <protection hidden="1"/>
    </xf>
    <xf numFmtId="0" fontId="15" fillId="0" borderId="8" xfId="0" applyFont="1" applyBorder="1" applyAlignment="1" applyProtection="1">
      <alignment vertical="center"/>
      <protection hidden="1"/>
    </xf>
    <xf numFmtId="164" fontId="0" fillId="6" borderId="6" xfId="2" applyNumberFormat="1" applyFont="1" applyFill="1" applyBorder="1" applyAlignment="1" applyProtection="1">
      <alignment vertical="center"/>
      <protection hidden="1"/>
    </xf>
    <xf numFmtId="164" fontId="0" fillId="6" borderId="64" xfId="2" applyNumberFormat="1" applyFont="1" applyFill="1" applyBorder="1" applyAlignment="1" applyProtection="1">
      <alignment vertical="center"/>
      <protection hidden="1"/>
    </xf>
    <xf numFmtId="164" fontId="0" fillId="6" borderId="6" xfId="0" applyNumberFormat="1" applyFill="1" applyBorder="1" applyAlignment="1" applyProtection="1">
      <alignment vertical="center"/>
      <protection hidden="1"/>
    </xf>
    <xf numFmtId="164" fontId="0" fillId="6" borderId="8" xfId="0" applyNumberFormat="1" applyFill="1" applyBorder="1" applyAlignment="1" applyProtection="1">
      <alignment vertical="center"/>
      <protection hidden="1"/>
    </xf>
    <xf numFmtId="164" fontId="0" fillId="6" borderId="61" xfId="0" applyNumberFormat="1" applyFill="1" applyBorder="1" applyAlignment="1" applyProtection="1">
      <alignment vertical="center"/>
      <protection hidden="1"/>
    </xf>
    <xf numFmtId="164" fontId="0" fillId="0" borderId="6" xfId="0" applyNumberFormat="1" applyBorder="1" applyAlignment="1" applyProtection="1">
      <alignment vertical="center"/>
      <protection hidden="1"/>
    </xf>
    <xf numFmtId="164" fontId="0" fillId="0" borderId="64" xfId="0" applyNumberFormat="1" applyBorder="1" applyAlignment="1" applyProtection="1">
      <alignment vertical="center"/>
      <protection hidden="1"/>
    </xf>
    <xf numFmtId="164" fontId="0" fillId="6" borderId="64" xfId="0" applyNumberFormat="1" applyFill="1" applyBorder="1" applyAlignment="1" applyProtection="1">
      <alignment vertical="center"/>
      <protection hidden="1"/>
    </xf>
    <xf numFmtId="0" fontId="17" fillId="3" borderId="89" xfId="0" applyFont="1" applyFill="1" applyBorder="1" applyAlignment="1" applyProtection="1">
      <alignment horizontal="center" vertical="center" shrinkToFit="1"/>
      <protection hidden="1"/>
    </xf>
    <xf numFmtId="0" fontId="17" fillId="3" borderId="43" xfId="0" applyFont="1" applyFill="1" applyBorder="1" applyAlignment="1" applyProtection="1">
      <alignment horizontal="center" vertical="center" shrinkToFit="1"/>
      <protection hidden="1"/>
    </xf>
    <xf numFmtId="0" fontId="0" fillId="0" borderId="8" xfId="0" applyBorder="1" applyAlignment="1" applyProtection="1">
      <alignment vertical="center"/>
      <protection hidden="1"/>
    </xf>
    <xf numFmtId="164" fontId="7" fillId="0" borderId="145" xfId="0" applyNumberFormat="1" applyFont="1" applyBorder="1" applyAlignment="1" applyProtection="1">
      <alignment horizontal="right" vertical="center"/>
      <protection hidden="1"/>
    </xf>
    <xf numFmtId="164" fontId="7" fillId="0" borderId="146" xfId="0" applyNumberFormat="1" applyFont="1" applyBorder="1" applyAlignment="1" applyProtection="1">
      <alignment horizontal="right" vertical="center"/>
      <protection hidden="1"/>
    </xf>
    <xf numFmtId="10" fontId="0" fillId="0" borderId="55" xfId="3" applyNumberFormat="1" applyFont="1" applyBorder="1" applyAlignment="1" applyProtection="1">
      <alignment vertical="center"/>
      <protection hidden="1"/>
    </xf>
    <xf numFmtId="10" fontId="0" fillId="0" borderId="56" xfId="3" applyNumberFormat="1" applyFont="1" applyBorder="1" applyAlignment="1" applyProtection="1">
      <alignment vertical="center"/>
      <protection hidden="1"/>
    </xf>
    <xf numFmtId="0" fontId="0" fillId="0" borderId="71" xfId="0" applyBorder="1" applyAlignment="1" applyProtection="1">
      <alignment horizontal="left" vertical="center" wrapText="1"/>
      <protection hidden="1"/>
    </xf>
    <xf numFmtId="0" fontId="0" fillId="0" borderId="171" xfId="0" applyBorder="1" applyAlignment="1" applyProtection="1">
      <alignment horizontal="left" vertical="center" wrapText="1"/>
      <protection hidden="1"/>
    </xf>
    <xf numFmtId="0" fontId="7" fillId="0" borderId="93" xfId="0" applyFont="1" applyBorder="1" applyAlignment="1" applyProtection="1">
      <alignment horizontal="left" vertical="center"/>
      <protection hidden="1"/>
    </xf>
    <xf numFmtId="0" fontId="7" fillId="0" borderId="73" xfId="0" applyFont="1" applyBorder="1" applyAlignment="1" applyProtection="1">
      <alignment horizontal="left" vertical="center"/>
      <protection hidden="1"/>
    </xf>
    <xf numFmtId="0" fontId="7" fillId="0" borderId="146" xfId="0" applyFont="1" applyBorder="1" applyAlignment="1" applyProtection="1">
      <alignment horizontal="left" vertical="center"/>
      <protection hidden="1"/>
    </xf>
    <xf numFmtId="164" fontId="0" fillId="0" borderId="6" xfId="2" applyNumberFormat="1" applyFont="1" applyBorder="1" applyAlignment="1" applyProtection="1">
      <alignment vertical="center" shrinkToFit="1"/>
      <protection hidden="1"/>
    </xf>
    <xf numFmtId="164" fontId="0" fillId="0" borderId="8" xfId="2" applyNumberFormat="1" applyFont="1" applyBorder="1" applyAlignment="1" applyProtection="1">
      <alignment vertical="center" shrinkToFit="1"/>
      <protection hidden="1"/>
    </xf>
    <xf numFmtId="164" fontId="0" fillId="0" borderId="56" xfId="0" applyNumberFormat="1" applyBorder="1" applyAlignment="1" applyProtection="1">
      <alignment vertical="center"/>
      <protection hidden="1"/>
    </xf>
    <xf numFmtId="0" fontId="0" fillId="0" borderId="57" xfId="0" applyBorder="1" applyAlignment="1" applyProtection="1">
      <alignment vertical="center"/>
      <protection hidden="1"/>
    </xf>
    <xf numFmtId="0" fontId="17" fillId="3" borderId="53" xfId="0" applyFont="1" applyFill="1" applyBorder="1" applyAlignment="1" applyProtection="1">
      <alignment horizontal="center" vertical="center"/>
      <protection hidden="1"/>
    </xf>
    <xf numFmtId="0" fontId="17" fillId="3" borderId="44" xfId="0" applyFont="1" applyFill="1" applyBorder="1" applyAlignment="1" applyProtection="1">
      <alignment horizontal="center" vertical="center"/>
      <protection hidden="1"/>
    </xf>
    <xf numFmtId="10" fontId="12" fillId="7" borderId="87" xfId="3" applyNumberFormat="1" applyFont="1" applyFill="1" applyBorder="1" applyAlignment="1" applyProtection="1">
      <alignment vertical="center"/>
      <protection hidden="1"/>
    </xf>
    <xf numFmtId="10" fontId="12" fillId="7" borderId="86" xfId="3" applyNumberFormat="1" applyFont="1" applyFill="1" applyBorder="1" applyAlignment="1" applyProtection="1">
      <alignment vertical="center"/>
      <protection hidden="1"/>
    </xf>
    <xf numFmtId="10" fontId="0" fillId="0" borderId="6" xfId="3" applyNumberFormat="1" applyFont="1" applyBorder="1" applyAlignment="1" applyProtection="1">
      <alignment vertical="center"/>
      <protection hidden="1"/>
    </xf>
    <xf numFmtId="10" fontId="0" fillId="0" borderId="64" xfId="3" applyNumberFormat="1" applyFont="1" applyBorder="1" applyAlignment="1" applyProtection="1">
      <alignment vertical="center"/>
      <protection hidden="1"/>
    </xf>
    <xf numFmtId="164" fontId="0" fillId="0" borderId="14" xfId="2" applyNumberFormat="1" applyFont="1" applyBorder="1" applyAlignment="1" applyProtection="1">
      <alignment vertical="center"/>
      <protection hidden="1"/>
    </xf>
    <xf numFmtId="164" fontId="12" fillId="2" borderId="6" xfId="0" applyNumberFormat="1" applyFont="1" applyFill="1" applyBorder="1" applyAlignment="1" applyProtection="1">
      <alignment horizontal="right" vertical="center"/>
      <protection hidden="1"/>
    </xf>
    <xf numFmtId="164" fontId="12" fillId="2" borderId="144" xfId="0" applyNumberFormat="1" applyFont="1" applyFill="1" applyBorder="1" applyAlignment="1" applyProtection="1">
      <alignment horizontal="right" vertical="center"/>
      <protection hidden="1"/>
    </xf>
    <xf numFmtId="164" fontId="0" fillId="0" borderId="6" xfId="2" applyNumberFormat="1" applyFont="1" applyBorder="1" applyAlignment="1" applyProtection="1">
      <alignment vertical="center"/>
      <protection hidden="1"/>
    </xf>
    <xf numFmtId="164" fontId="0" fillId="0" borderId="8" xfId="2" applyNumberFormat="1" applyFont="1" applyBorder="1" applyAlignment="1" applyProtection="1">
      <alignment vertical="center"/>
      <protection hidden="1"/>
    </xf>
    <xf numFmtId="0" fontId="3" fillId="7" borderId="78" xfId="0" applyFont="1" applyFill="1" applyBorder="1" applyAlignment="1">
      <alignment horizontal="center" vertical="center"/>
    </xf>
    <xf numFmtId="0" fontId="3" fillId="7" borderId="79" xfId="0" applyFont="1" applyFill="1" applyBorder="1" applyAlignment="1">
      <alignment horizontal="center" vertical="center"/>
    </xf>
    <xf numFmtId="0" fontId="3" fillId="7" borderId="80" xfId="0" applyFont="1" applyFill="1" applyBorder="1" applyAlignment="1">
      <alignment horizontal="center" vertical="center"/>
    </xf>
    <xf numFmtId="0" fontId="3" fillId="7" borderId="71" xfId="0" applyFont="1" applyFill="1" applyBorder="1" applyAlignment="1">
      <alignment horizontal="center" vertical="center"/>
    </xf>
    <xf numFmtId="0" fontId="3" fillId="7" borderId="72" xfId="0" applyFont="1" applyFill="1" applyBorder="1" applyAlignment="1">
      <alignment horizontal="center" vertical="center"/>
    </xf>
    <xf numFmtId="0" fontId="17" fillId="3" borderId="25" xfId="0" applyFont="1" applyFill="1" applyBorder="1" applyAlignment="1" applyProtection="1">
      <alignment horizontal="center" vertical="center" wrapText="1"/>
      <protection hidden="1"/>
    </xf>
    <xf numFmtId="0" fontId="17" fillId="3" borderId="20" xfId="0" applyFont="1" applyFill="1" applyBorder="1" applyAlignment="1" applyProtection="1">
      <alignment horizontal="center" vertical="center" wrapText="1"/>
      <protection hidden="1"/>
    </xf>
    <xf numFmtId="0" fontId="17" fillId="3" borderId="90" xfId="0" applyFont="1" applyFill="1" applyBorder="1" applyAlignment="1" applyProtection="1">
      <alignment horizontal="center" vertical="center"/>
      <protection hidden="1"/>
    </xf>
    <xf numFmtId="0" fontId="17" fillId="3" borderId="91" xfId="0" applyFont="1" applyFill="1" applyBorder="1" applyAlignment="1" applyProtection="1">
      <alignment horizontal="center" vertical="center"/>
      <protection hidden="1"/>
    </xf>
    <xf numFmtId="0" fontId="17" fillId="3" borderId="198" xfId="0" applyFont="1" applyFill="1" applyBorder="1" applyAlignment="1" applyProtection="1">
      <alignment horizontal="center" vertical="center"/>
      <protection hidden="1"/>
    </xf>
    <xf numFmtId="0" fontId="17" fillId="3" borderId="42" xfId="0" applyFont="1" applyFill="1" applyBorder="1" applyAlignment="1" applyProtection="1">
      <alignment horizontal="center" vertical="center"/>
      <protection hidden="1"/>
    </xf>
    <xf numFmtId="0" fontId="17" fillId="3" borderId="89" xfId="0" applyFont="1" applyFill="1" applyBorder="1" applyAlignment="1" applyProtection="1">
      <alignment horizontal="center" vertical="center"/>
      <protection hidden="1"/>
    </xf>
    <xf numFmtId="0" fontId="17" fillId="3" borderId="43" xfId="0" applyFont="1" applyFill="1" applyBorder="1" applyAlignment="1" applyProtection="1">
      <alignment horizontal="center" vertical="center"/>
      <protection hidden="1"/>
    </xf>
    <xf numFmtId="164" fontId="7" fillId="0" borderId="92" xfId="0" applyNumberFormat="1" applyFont="1" applyBorder="1" applyAlignment="1" applyProtection="1">
      <alignment horizontal="right" vertical="center"/>
      <protection hidden="1"/>
    </xf>
    <xf numFmtId="164" fontId="12" fillId="7" borderId="82" xfId="2" applyNumberFormat="1" applyFont="1" applyFill="1" applyBorder="1" applyAlignment="1" applyProtection="1">
      <alignment vertical="center"/>
      <protection hidden="1"/>
    </xf>
    <xf numFmtId="164" fontId="12" fillId="7" borderId="86" xfId="0" applyNumberFormat="1" applyFont="1" applyFill="1" applyBorder="1" applyAlignment="1" applyProtection="1">
      <alignment vertical="center"/>
      <protection hidden="1"/>
    </xf>
    <xf numFmtId="0" fontId="12" fillId="7" borderId="88" xfId="0" applyFont="1" applyFill="1" applyBorder="1" applyAlignment="1" applyProtection="1">
      <alignment vertical="center"/>
      <protection hidden="1"/>
    </xf>
    <xf numFmtId="0" fontId="8" fillId="3" borderId="74" xfId="0" applyFont="1" applyFill="1" applyBorder="1" applyAlignment="1" applyProtection="1">
      <alignment horizontal="center" vertical="center" wrapText="1"/>
      <protection hidden="1"/>
    </xf>
    <xf numFmtId="0" fontId="8" fillId="3" borderId="75" xfId="0" applyFont="1" applyFill="1" applyBorder="1" applyAlignment="1" applyProtection="1">
      <alignment horizontal="center" vertical="center" wrapText="1"/>
      <protection hidden="1"/>
    </xf>
    <xf numFmtId="0" fontId="8" fillId="3" borderId="67" xfId="0" applyFont="1" applyFill="1" applyBorder="1" applyAlignment="1" applyProtection="1">
      <alignment horizontal="center" vertical="center" wrapText="1"/>
      <protection hidden="1"/>
    </xf>
    <xf numFmtId="0" fontId="8" fillId="3" borderId="77" xfId="0" applyFont="1" applyFill="1" applyBorder="1" applyAlignment="1" applyProtection="1">
      <alignment horizontal="center" vertical="center" wrapText="1"/>
      <protection hidden="1"/>
    </xf>
    <xf numFmtId="0" fontId="8" fillId="3" borderId="68" xfId="0" applyFont="1" applyFill="1" applyBorder="1" applyAlignment="1" applyProtection="1">
      <alignment horizontal="center" vertical="center"/>
      <protection hidden="1"/>
    </xf>
    <xf numFmtId="0" fontId="8" fillId="3" borderId="77" xfId="0" applyFont="1" applyFill="1" applyBorder="1" applyAlignment="1" applyProtection="1">
      <alignment horizontal="center" vertical="center"/>
      <protection hidden="1"/>
    </xf>
    <xf numFmtId="0" fontId="8" fillId="3" borderId="52" xfId="0" applyFont="1" applyFill="1" applyBorder="1" applyAlignment="1" applyProtection="1">
      <alignment horizontal="center" vertical="center"/>
      <protection hidden="1"/>
    </xf>
    <xf numFmtId="0" fontId="8" fillId="3" borderId="52" xfId="0" applyFont="1" applyFill="1" applyBorder="1" applyAlignment="1" applyProtection="1">
      <alignment horizontal="center" vertical="center" wrapText="1"/>
      <protection hidden="1"/>
    </xf>
    <xf numFmtId="0" fontId="8" fillId="3" borderId="69" xfId="0" applyFont="1" applyFill="1" applyBorder="1" applyAlignment="1" applyProtection="1">
      <alignment horizontal="center" vertical="center" wrapText="1"/>
      <protection hidden="1"/>
    </xf>
    <xf numFmtId="164" fontId="12" fillId="7" borderId="82" xfId="0" applyNumberFormat="1" applyFont="1" applyFill="1" applyBorder="1" applyAlignment="1" applyProtection="1">
      <alignment vertical="center"/>
      <protection hidden="1"/>
    </xf>
    <xf numFmtId="0" fontId="12" fillId="7" borderId="82" xfId="0" applyFont="1" applyFill="1" applyBorder="1" applyAlignment="1" applyProtection="1">
      <alignment vertical="center"/>
      <protection hidden="1"/>
    </xf>
    <xf numFmtId="9" fontId="8" fillId="4" borderId="63" xfId="0" applyNumberFormat="1" applyFont="1" applyFill="1" applyBorder="1" applyAlignment="1" applyProtection="1">
      <alignment vertical="center"/>
      <protection locked="0"/>
    </xf>
    <xf numFmtId="9" fontId="8" fillId="4" borderId="54" xfId="0" applyNumberFormat="1" applyFont="1" applyFill="1" applyBorder="1" applyAlignment="1" applyProtection="1">
      <alignment vertical="center"/>
      <protection locked="0"/>
    </xf>
    <xf numFmtId="0" fontId="8" fillId="4" borderId="92" xfId="0" applyFont="1" applyFill="1" applyBorder="1" applyAlignment="1" applyProtection="1">
      <alignment horizontal="right" vertical="center"/>
      <protection locked="0"/>
    </xf>
    <xf numFmtId="0" fontId="8" fillId="4" borderId="94" xfId="0" applyFont="1" applyFill="1" applyBorder="1" applyAlignment="1" applyProtection="1">
      <alignment horizontal="right" vertical="center"/>
      <protection locked="0"/>
    </xf>
    <xf numFmtId="10" fontId="8" fillId="4" borderId="4" xfId="0" applyNumberFormat="1" applyFont="1" applyFill="1" applyBorder="1" applyAlignment="1" applyProtection="1">
      <alignment vertical="center"/>
      <protection locked="0"/>
    </xf>
    <xf numFmtId="10" fontId="8" fillId="4" borderId="63" xfId="0" applyNumberFormat="1" applyFont="1" applyFill="1" applyBorder="1" applyAlignment="1" applyProtection="1">
      <alignment vertical="center"/>
      <protection locked="0"/>
    </xf>
    <xf numFmtId="10" fontId="8" fillId="4" borderId="64" xfId="0" applyNumberFormat="1" applyFont="1" applyFill="1" applyBorder="1" applyAlignment="1" applyProtection="1">
      <alignment vertical="center"/>
      <protection locked="0"/>
    </xf>
    <xf numFmtId="0" fontId="8" fillId="4" borderId="7" xfId="0" applyFont="1" applyFill="1" applyBorder="1" applyAlignment="1" applyProtection="1">
      <alignment horizontal="right" vertical="center"/>
      <protection locked="0"/>
    </xf>
    <xf numFmtId="0" fontId="8" fillId="4" borderId="64" xfId="0" applyFont="1" applyFill="1" applyBorder="1" applyAlignment="1" applyProtection="1">
      <alignment horizontal="right" vertical="center"/>
      <protection locked="0"/>
    </xf>
    <xf numFmtId="10" fontId="8" fillId="4" borderId="76" xfId="0" applyNumberFormat="1" applyFont="1" applyFill="1" applyBorder="1" applyAlignment="1" applyProtection="1">
      <alignment vertical="center"/>
      <protection locked="0"/>
    </xf>
    <xf numFmtId="10" fontId="8" fillId="4" borderId="65" xfId="0" applyNumberFormat="1" applyFont="1" applyFill="1" applyBorder="1" applyAlignment="1" applyProtection="1">
      <alignment vertical="center"/>
      <protection locked="0"/>
    </xf>
    <xf numFmtId="0" fontId="8" fillId="4" borderId="168" xfId="0" applyFont="1" applyFill="1" applyBorder="1" applyAlignment="1" applyProtection="1">
      <alignment horizontal="center" vertical="center"/>
      <protection locked="0"/>
    </xf>
    <xf numFmtId="0" fontId="8" fillId="4" borderId="170" xfId="0" applyFont="1" applyFill="1" applyBorder="1" applyAlignment="1" applyProtection="1">
      <alignment horizontal="center" vertical="center"/>
      <protection locked="0"/>
    </xf>
    <xf numFmtId="0" fontId="7" fillId="0" borderId="33" xfId="0" applyFont="1" applyBorder="1" applyAlignment="1" applyProtection="1">
      <alignment horizontal="right" vertical="center"/>
      <protection hidden="1"/>
    </xf>
    <xf numFmtId="10" fontId="12" fillId="7" borderId="82" xfId="3" applyNumberFormat="1" applyFont="1" applyFill="1" applyBorder="1" applyAlignment="1" applyProtection="1">
      <alignment vertical="center"/>
      <protection hidden="1"/>
    </xf>
    <xf numFmtId="10" fontId="12" fillId="7" borderId="83" xfId="3" applyNumberFormat="1" applyFont="1" applyFill="1" applyBorder="1" applyAlignment="1" applyProtection="1">
      <alignment vertical="center"/>
      <protection hidden="1"/>
    </xf>
    <xf numFmtId="0" fontId="0" fillId="0" borderId="71" xfId="0" applyBorder="1" applyAlignment="1" applyProtection="1">
      <alignment horizontal="center" vertical="center"/>
      <protection hidden="1"/>
    </xf>
    <xf numFmtId="0" fontId="2" fillId="0" borderId="0" xfId="0" applyFont="1" applyAlignment="1" applyProtection="1">
      <alignment horizontal="center" vertical="center"/>
      <protection hidden="1"/>
    </xf>
    <xf numFmtId="0" fontId="8" fillId="3" borderId="19" xfId="0" applyFont="1" applyFill="1" applyBorder="1" applyAlignment="1" applyProtection="1">
      <alignment horizontal="center" vertical="center"/>
      <protection hidden="1"/>
    </xf>
    <xf numFmtId="0" fontId="8" fillId="3" borderId="20" xfId="0" applyFont="1" applyFill="1" applyBorder="1" applyAlignment="1" applyProtection="1">
      <alignment horizontal="center" vertical="center"/>
      <protection hidden="1"/>
    </xf>
    <xf numFmtId="0" fontId="8" fillId="3" borderId="66" xfId="0" applyFont="1" applyFill="1" applyBorder="1" applyAlignment="1" applyProtection="1">
      <alignment horizontal="center" vertical="center"/>
      <protection hidden="1"/>
    </xf>
    <xf numFmtId="0" fontId="8" fillId="3" borderId="75" xfId="0" applyFont="1" applyFill="1" applyBorder="1" applyAlignment="1" applyProtection="1">
      <alignment horizontal="center" vertical="center"/>
      <protection hidden="1"/>
    </xf>
    <xf numFmtId="0" fontId="8" fillId="3" borderId="74" xfId="0" applyFont="1" applyFill="1" applyBorder="1" applyAlignment="1" applyProtection="1">
      <alignment horizontal="center" vertical="center"/>
      <protection hidden="1"/>
    </xf>
    <xf numFmtId="0" fontId="8" fillId="3" borderId="15" xfId="0" applyFont="1" applyFill="1" applyBorder="1" applyAlignment="1" applyProtection="1">
      <alignment horizontal="center" vertical="center"/>
      <protection hidden="1"/>
    </xf>
    <xf numFmtId="0" fontId="8" fillId="3" borderId="3" xfId="0" applyFont="1" applyFill="1" applyBorder="1" applyAlignment="1" applyProtection="1">
      <alignment horizontal="center" vertical="center"/>
      <protection hidden="1"/>
    </xf>
    <xf numFmtId="0" fontId="8" fillId="3" borderId="17" xfId="0" applyFont="1" applyFill="1" applyBorder="1" applyAlignment="1" applyProtection="1">
      <alignment horizontal="center" vertical="center"/>
      <protection hidden="1"/>
    </xf>
    <xf numFmtId="0" fontId="8" fillId="3" borderId="18" xfId="0" applyFont="1" applyFill="1" applyBorder="1" applyAlignment="1" applyProtection="1">
      <alignment horizontal="center" vertical="center"/>
      <protection hidden="1"/>
    </xf>
    <xf numFmtId="164" fontId="12" fillId="7" borderId="84" xfId="2" applyNumberFormat="1" applyFont="1" applyFill="1" applyBorder="1" applyAlignment="1" applyProtection="1">
      <alignment vertical="center" shrinkToFit="1"/>
      <protection hidden="1"/>
    </xf>
    <xf numFmtId="164" fontId="12" fillId="7" borderId="85" xfId="2" applyNumberFormat="1" applyFont="1" applyFill="1" applyBorder="1" applyAlignment="1" applyProtection="1">
      <alignment vertical="center" shrinkToFit="1"/>
      <protection hidden="1"/>
    </xf>
    <xf numFmtId="164" fontId="9" fillId="4" borderId="92" xfId="2" applyNumberFormat="1" applyFont="1" applyFill="1" applyBorder="1" applyAlignment="1" applyProtection="1">
      <alignment vertical="center"/>
      <protection locked="0"/>
    </xf>
    <xf numFmtId="164" fontId="9" fillId="4" borderId="94" xfId="2" applyNumberFormat="1" applyFont="1" applyFill="1" applyBorder="1" applyAlignment="1" applyProtection="1">
      <alignment vertical="center"/>
      <protection locked="0"/>
    </xf>
    <xf numFmtId="10" fontId="9" fillId="4" borderId="65" xfId="2" applyNumberFormat="1" applyFont="1" applyFill="1" applyBorder="1" applyAlignment="1" applyProtection="1">
      <alignment vertical="center"/>
      <protection locked="0"/>
    </xf>
    <xf numFmtId="10" fontId="9" fillId="4" borderId="58" xfId="2" applyNumberFormat="1" applyFont="1" applyFill="1" applyBorder="1" applyAlignment="1" applyProtection="1">
      <alignment vertical="center"/>
      <protection locked="0"/>
    </xf>
    <xf numFmtId="0" fontId="17" fillId="3" borderId="189" xfId="0" applyFont="1" applyFill="1" applyBorder="1" applyAlignment="1" applyProtection="1">
      <alignment horizontal="center" vertical="center" wrapText="1"/>
      <protection hidden="1"/>
    </xf>
    <xf numFmtId="0" fontId="17" fillId="3" borderId="192" xfId="0" applyFont="1" applyFill="1" applyBorder="1" applyAlignment="1" applyProtection="1">
      <alignment horizontal="center" vertical="center" wrapText="1"/>
      <protection hidden="1"/>
    </xf>
    <xf numFmtId="0" fontId="17" fillId="3" borderId="193" xfId="0" applyFont="1" applyFill="1" applyBorder="1" applyAlignment="1" applyProtection="1">
      <alignment horizontal="center" vertical="center" wrapText="1"/>
      <protection hidden="1"/>
    </xf>
    <xf numFmtId="0" fontId="17" fillId="3" borderId="194" xfId="0" applyFont="1" applyFill="1" applyBorder="1" applyAlignment="1" applyProtection="1">
      <alignment horizontal="center" vertical="center" wrapText="1"/>
      <protection hidden="1"/>
    </xf>
    <xf numFmtId="0" fontId="17" fillId="3" borderId="195" xfId="0" applyFont="1" applyFill="1" applyBorder="1" applyAlignment="1" applyProtection="1">
      <alignment horizontal="center" vertical="center" wrapText="1"/>
      <protection hidden="1"/>
    </xf>
    <xf numFmtId="0" fontId="17" fillId="3" borderId="196" xfId="0" applyFont="1" applyFill="1" applyBorder="1" applyAlignment="1" applyProtection="1">
      <alignment horizontal="center" vertical="center" wrapText="1"/>
      <protection hidden="1"/>
    </xf>
    <xf numFmtId="0" fontId="17" fillId="3" borderId="197" xfId="0" applyFont="1" applyFill="1" applyBorder="1" applyAlignment="1" applyProtection="1">
      <alignment horizontal="center" vertical="center" wrapText="1"/>
      <protection hidden="1"/>
    </xf>
    <xf numFmtId="0" fontId="17" fillId="3" borderId="63" xfId="0" applyFont="1" applyFill="1" applyBorder="1" applyAlignment="1" applyProtection="1">
      <alignment horizontal="center" vertical="center" wrapText="1"/>
      <protection hidden="1"/>
    </xf>
    <xf numFmtId="164" fontId="0" fillId="0" borderId="61" xfId="0" applyNumberFormat="1" applyBorder="1" applyAlignment="1" applyProtection="1">
      <alignment vertical="center"/>
      <protection hidden="1"/>
    </xf>
    <xf numFmtId="164" fontId="0" fillId="0" borderId="8" xfId="0" applyNumberFormat="1" applyBorder="1" applyAlignment="1" applyProtection="1">
      <alignment vertical="center"/>
      <protection hidden="1"/>
    </xf>
    <xf numFmtId="164" fontId="0" fillId="5" borderId="61" xfId="0" applyNumberFormat="1" applyFill="1" applyBorder="1" applyAlignment="1" applyProtection="1">
      <alignment vertical="center"/>
      <protection hidden="1"/>
    </xf>
    <xf numFmtId="164" fontId="0" fillId="5" borderId="8" xfId="0" applyNumberFormat="1" applyFill="1" applyBorder="1" applyAlignment="1" applyProtection="1">
      <alignment vertical="center"/>
      <protection hidden="1"/>
    </xf>
    <xf numFmtId="164" fontId="0" fillId="6" borderId="62" xfId="0" applyNumberFormat="1" applyFill="1" applyBorder="1" applyAlignment="1" applyProtection="1">
      <alignment vertical="center"/>
      <protection hidden="1"/>
    </xf>
    <xf numFmtId="164" fontId="0" fillId="6" borderId="60" xfId="0" applyNumberFormat="1" applyFill="1" applyBorder="1" applyAlignment="1" applyProtection="1">
      <alignment vertical="center"/>
      <protection hidden="1"/>
    </xf>
    <xf numFmtId="164" fontId="0" fillId="5" borderId="6" xfId="0" applyNumberFormat="1" applyFill="1" applyBorder="1" applyAlignment="1" applyProtection="1">
      <alignment vertical="center"/>
      <protection hidden="1"/>
    </xf>
    <xf numFmtId="164" fontId="0" fillId="6" borderId="59" xfId="0" applyNumberFormat="1" applyFill="1" applyBorder="1" applyAlignment="1" applyProtection="1">
      <alignment vertical="center"/>
      <protection hidden="1"/>
    </xf>
    <xf numFmtId="164" fontId="0" fillId="0" borderId="64" xfId="2" applyNumberFormat="1" applyFont="1" applyBorder="1" applyAlignment="1" applyProtection="1">
      <alignment vertical="center"/>
      <protection hidden="1"/>
    </xf>
    <xf numFmtId="164" fontId="0" fillId="5" borderId="6" xfId="2" applyNumberFormat="1" applyFont="1" applyFill="1" applyBorder="1" applyAlignment="1" applyProtection="1">
      <alignment vertical="center"/>
      <protection hidden="1"/>
    </xf>
    <xf numFmtId="164" fontId="0" fillId="5" borderId="64" xfId="2" applyNumberFormat="1" applyFont="1" applyFill="1" applyBorder="1" applyAlignment="1" applyProtection="1">
      <alignment vertical="center"/>
      <protection hidden="1"/>
    </xf>
    <xf numFmtId="164" fontId="0" fillId="6" borderId="59" xfId="2" applyNumberFormat="1" applyFont="1" applyFill="1" applyBorder="1" applyAlignment="1" applyProtection="1">
      <alignment vertical="center"/>
      <protection hidden="1"/>
    </xf>
    <xf numFmtId="164" fontId="0" fillId="6" borderId="65" xfId="2" applyNumberFormat="1" applyFont="1" applyFill="1" applyBorder="1" applyAlignment="1" applyProtection="1">
      <alignment vertical="center"/>
      <protection hidden="1"/>
    </xf>
    <xf numFmtId="0" fontId="29" fillId="3" borderId="89" xfId="0" applyFont="1" applyFill="1" applyBorder="1" applyAlignment="1" applyProtection="1">
      <alignment horizontal="center" vertical="center" wrapText="1"/>
      <protection hidden="1"/>
    </xf>
    <xf numFmtId="0" fontId="29" fillId="3" borderId="43" xfId="0" applyFont="1" applyFill="1" applyBorder="1" applyAlignment="1" applyProtection="1">
      <alignment horizontal="center" vertical="center" wrapText="1"/>
      <protection hidden="1"/>
    </xf>
    <xf numFmtId="0" fontId="17" fillId="3" borderId="183" xfId="0" applyFont="1" applyFill="1" applyBorder="1" applyAlignment="1" applyProtection="1">
      <alignment horizontal="center" vertical="center" wrapText="1"/>
      <protection hidden="1"/>
    </xf>
    <xf numFmtId="0" fontId="17" fillId="3" borderId="178" xfId="0" applyFont="1" applyFill="1" applyBorder="1" applyAlignment="1" applyProtection="1">
      <alignment horizontal="center" vertical="center" wrapText="1"/>
      <protection hidden="1"/>
    </xf>
    <xf numFmtId="164" fontId="0" fillId="6" borderId="65" xfId="0" applyNumberFormat="1" applyFill="1" applyBorder="1" applyAlignment="1" applyProtection="1">
      <alignment vertical="center"/>
      <protection hidden="1"/>
    </xf>
    <xf numFmtId="164" fontId="8" fillId="6" borderId="6" xfId="2" applyNumberFormat="1" applyFont="1" applyFill="1" applyBorder="1" applyAlignment="1" applyProtection="1">
      <alignment vertical="center"/>
      <protection hidden="1"/>
    </xf>
    <xf numFmtId="164" fontId="8" fillId="6" borderId="8" xfId="2" applyNumberFormat="1" applyFont="1" applyFill="1" applyBorder="1" applyAlignment="1" applyProtection="1">
      <alignment vertical="center"/>
      <protection hidden="1"/>
    </xf>
    <xf numFmtId="0" fontId="8" fillId="3" borderId="136" xfId="0" applyFont="1" applyFill="1" applyBorder="1" applyAlignment="1" applyProtection="1">
      <alignment horizontal="center" vertical="center"/>
      <protection hidden="1"/>
    </xf>
    <xf numFmtId="0" fontId="8" fillId="3" borderId="0" xfId="0" applyFont="1" applyFill="1" applyAlignment="1" applyProtection="1">
      <alignment horizontal="center" vertical="center"/>
      <protection hidden="1"/>
    </xf>
    <xf numFmtId="0" fontId="8" fillId="3" borderId="21" xfId="0" applyFont="1" applyFill="1" applyBorder="1" applyAlignment="1" applyProtection="1">
      <alignment horizontal="center" vertical="center"/>
      <protection hidden="1"/>
    </xf>
    <xf numFmtId="0" fontId="2" fillId="0" borderId="26" xfId="0" applyFont="1" applyBorder="1" applyAlignment="1" applyProtection="1">
      <alignment vertical="center"/>
      <protection hidden="1"/>
    </xf>
    <xf numFmtId="0" fontId="2" fillId="0" borderId="4" xfId="0" applyFont="1" applyBorder="1" applyAlignment="1" applyProtection="1">
      <alignment vertical="center"/>
      <protection hidden="1"/>
    </xf>
    <xf numFmtId="0" fontId="2" fillId="0" borderId="5" xfId="0" applyFont="1" applyBorder="1" applyAlignment="1" applyProtection="1">
      <alignment vertical="center"/>
      <protection hidden="1"/>
    </xf>
    <xf numFmtId="0" fontId="2" fillId="6" borderId="6" xfId="0" applyFont="1" applyFill="1" applyBorder="1" applyAlignment="1" applyProtection="1">
      <alignment vertical="center"/>
      <protection hidden="1"/>
    </xf>
    <xf numFmtId="0" fontId="2" fillId="6" borderId="7" xfId="0" applyFont="1" applyFill="1" applyBorder="1" applyAlignment="1" applyProtection="1">
      <alignment vertical="center"/>
      <protection hidden="1"/>
    </xf>
    <xf numFmtId="0" fontId="2" fillId="6" borderId="8" xfId="0" applyFont="1" applyFill="1" applyBorder="1" applyAlignment="1" applyProtection="1">
      <alignment vertical="center"/>
      <protection hidden="1"/>
    </xf>
    <xf numFmtId="0" fontId="2" fillId="0" borderId="8" xfId="0" applyFont="1" applyBorder="1" applyAlignment="1" applyProtection="1">
      <alignment vertical="center"/>
      <protection hidden="1"/>
    </xf>
    <xf numFmtId="10" fontId="2" fillId="0" borderId="6" xfId="3" applyNumberFormat="1" applyFont="1" applyBorder="1" applyAlignment="1" applyProtection="1">
      <alignment vertical="center"/>
      <protection hidden="1"/>
    </xf>
    <xf numFmtId="10" fontId="2" fillId="0" borderId="8" xfId="3" applyNumberFormat="1" applyFont="1" applyBorder="1" applyAlignment="1" applyProtection="1">
      <alignment vertical="center"/>
      <protection hidden="1"/>
    </xf>
    <xf numFmtId="164" fontId="2" fillId="6" borderId="6" xfId="2" applyNumberFormat="1" applyFont="1" applyFill="1" applyBorder="1" applyAlignment="1" applyProtection="1">
      <alignment vertical="center"/>
      <protection hidden="1"/>
    </xf>
    <xf numFmtId="164" fontId="2" fillId="6" borderId="8" xfId="2" applyNumberFormat="1" applyFont="1" applyFill="1" applyBorder="1" applyAlignment="1" applyProtection="1">
      <alignment vertical="center"/>
      <protection hidden="1"/>
    </xf>
    <xf numFmtId="0" fontId="22" fillId="0" borderId="137" xfId="0" applyFont="1" applyBorder="1" applyAlignment="1" applyProtection="1">
      <alignment horizontal="left" vertical="center" wrapText="1"/>
      <protection hidden="1"/>
    </xf>
    <xf numFmtId="0" fontId="22" fillId="0" borderId="138" xfId="0" applyFont="1" applyBorder="1" applyAlignment="1" applyProtection="1">
      <alignment horizontal="left" vertical="center" wrapText="1"/>
      <protection hidden="1"/>
    </xf>
    <xf numFmtId="0" fontId="22" fillId="0" borderId="139" xfId="0" applyFont="1" applyBorder="1" applyAlignment="1" applyProtection="1">
      <alignment horizontal="left" vertical="center" wrapText="1"/>
      <protection hidden="1"/>
    </xf>
    <xf numFmtId="0" fontId="22" fillId="0" borderId="140" xfId="0" applyFont="1" applyBorder="1" applyAlignment="1" applyProtection="1">
      <alignment horizontal="left" vertical="center" wrapText="1"/>
      <protection hidden="1"/>
    </xf>
    <xf numFmtId="0" fontId="22" fillId="0" borderId="141" xfId="0" applyFont="1" applyBorder="1" applyAlignment="1" applyProtection="1">
      <alignment horizontal="left" vertical="center" wrapText="1"/>
      <protection hidden="1"/>
    </xf>
    <xf numFmtId="0" fontId="22" fillId="0" borderId="142" xfId="0" applyFont="1" applyBorder="1" applyAlignment="1" applyProtection="1">
      <alignment horizontal="left" vertical="center" wrapText="1"/>
      <protection hidden="1"/>
    </xf>
    <xf numFmtId="164" fontId="2" fillId="0" borderId="6" xfId="2" applyNumberFormat="1" applyFont="1" applyBorder="1" applyAlignment="1" applyProtection="1">
      <alignment vertical="center"/>
      <protection hidden="1"/>
    </xf>
    <xf numFmtId="164" fontId="2" fillId="0" borderId="8" xfId="2" applyNumberFormat="1" applyFont="1" applyBorder="1" applyAlignment="1" applyProtection="1">
      <alignment vertical="center"/>
      <protection hidden="1"/>
    </xf>
    <xf numFmtId="0" fontId="8" fillId="3" borderId="134" xfId="0" applyFont="1" applyFill="1" applyBorder="1" applyAlignment="1" applyProtection="1">
      <alignment horizontal="center" vertical="center"/>
      <protection hidden="1"/>
    </xf>
    <xf numFmtId="0" fontId="8" fillId="3" borderId="135" xfId="0" applyFont="1" applyFill="1" applyBorder="1" applyAlignment="1" applyProtection="1">
      <alignment horizontal="center" vertical="center"/>
      <protection hidden="1"/>
    </xf>
    <xf numFmtId="164" fontId="2" fillId="0" borderId="26" xfId="2" applyNumberFormat="1" applyFont="1" applyBorder="1" applyAlignment="1" applyProtection="1">
      <alignment vertical="center"/>
      <protection hidden="1"/>
    </xf>
    <xf numFmtId="164" fontId="2" fillId="0" borderId="5" xfId="2" applyNumberFormat="1" applyFont="1" applyBorder="1" applyAlignment="1" applyProtection="1">
      <alignment vertical="center"/>
      <protection hidden="1"/>
    </xf>
    <xf numFmtId="10" fontId="2" fillId="6" borderId="6" xfId="0" applyNumberFormat="1" applyFont="1" applyFill="1" applyBorder="1" applyAlignment="1" applyProtection="1">
      <alignment vertical="center"/>
      <protection hidden="1"/>
    </xf>
    <xf numFmtId="10" fontId="2" fillId="6" borderId="8" xfId="0" applyNumberFormat="1" applyFont="1" applyFill="1" applyBorder="1" applyAlignment="1" applyProtection="1">
      <alignment vertical="center"/>
      <protection hidden="1"/>
    </xf>
    <xf numFmtId="0" fontId="2" fillId="6" borderId="6" xfId="0" applyFont="1" applyFill="1" applyBorder="1" applyAlignment="1" applyProtection="1">
      <alignment horizontal="right" vertical="center"/>
      <protection hidden="1"/>
    </xf>
    <xf numFmtId="0" fontId="2" fillId="6" borderId="8" xfId="0" applyFont="1" applyFill="1" applyBorder="1" applyAlignment="1" applyProtection="1">
      <alignment horizontal="right" vertical="center"/>
      <protection hidden="1"/>
    </xf>
    <xf numFmtId="0" fontId="2" fillId="0" borderId="6" xfId="0" applyFont="1" applyBorder="1" applyAlignment="1" applyProtection="1">
      <alignment horizontal="right" vertical="center"/>
      <protection hidden="1"/>
    </xf>
    <xf numFmtId="0" fontId="2" fillId="0" borderId="8" xfId="0" applyFont="1" applyBorder="1" applyAlignment="1" applyProtection="1">
      <alignment horizontal="right" vertical="center"/>
      <protection hidden="1"/>
    </xf>
    <xf numFmtId="10" fontId="2" fillId="0" borderId="6" xfId="0" applyNumberFormat="1" applyFont="1" applyBorder="1" applyAlignment="1" applyProtection="1">
      <alignment vertical="center"/>
      <protection hidden="1"/>
    </xf>
    <xf numFmtId="10" fontId="2" fillId="0" borderId="8" xfId="0" applyNumberFormat="1" applyFont="1" applyBorder="1" applyAlignment="1" applyProtection="1">
      <alignment vertical="center"/>
      <protection hidden="1"/>
    </xf>
    <xf numFmtId="164" fontId="2" fillId="6" borderId="6" xfId="0" applyNumberFormat="1" applyFont="1" applyFill="1" applyBorder="1" applyAlignment="1" applyProtection="1">
      <alignment vertical="center"/>
      <protection hidden="1"/>
    </xf>
    <xf numFmtId="164" fontId="2" fillId="6" borderId="8" xfId="0" applyNumberFormat="1" applyFont="1" applyFill="1" applyBorder="1" applyAlignment="1" applyProtection="1">
      <alignment vertical="center"/>
      <protection hidden="1"/>
    </xf>
    <xf numFmtId="0" fontId="2" fillId="0" borderId="2" xfId="0" applyFont="1" applyBorder="1" applyAlignment="1" applyProtection="1">
      <alignment vertical="center"/>
      <protection hidden="1"/>
    </xf>
    <xf numFmtId="0" fontId="20" fillId="3" borderId="0" xfId="0" applyFont="1" applyFill="1" applyAlignment="1" applyProtection="1">
      <alignment horizontal="center" vertical="center" wrapText="1"/>
      <protection hidden="1"/>
    </xf>
    <xf numFmtId="10" fontId="9" fillId="4" borderId="7" xfId="2" applyNumberFormat="1" applyFont="1" applyFill="1" applyBorder="1" applyAlignment="1" applyProtection="1">
      <alignment vertical="center"/>
      <protection locked="0"/>
    </xf>
    <xf numFmtId="10" fontId="9" fillId="4" borderId="8" xfId="2" applyNumberFormat="1" applyFont="1" applyFill="1" applyBorder="1" applyAlignment="1" applyProtection="1">
      <alignment vertical="center"/>
      <protection locked="0"/>
    </xf>
    <xf numFmtId="0" fontId="22" fillId="0" borderId="0" xfId="0" applyFont="1" applyAlignment="1" applyProtection="1">
      <alignment horizontal="center" vertical="center" wrapText="1"/>
      <protection hidden="1"/>
    </xf>
    <xf numFmtId="0" fontId="9" fillId="4" borderId="7" xfId="2" applyNumberFormat="1" applyFont="1" applyFill="1" applyBorder="1" applyAlignment="1" applyProtection="1">
      <alignment horizontal="right" vertical="center"/>
      <protection locked="0"/>
    </xf>
    <xf numFmtId="0" fontId="9" fillId="4" borderId="8" xfId="2" applyNumberFormat="1" applyFont="1" applyFill="1" applyBorder="1" applyAlignment="1" applyProtection="1">
      <alignment horizontal="right" vertical="center"/>
      <protection locked="0"/>
    </xf>
    <xf numFmtId="0" fontId="9" fillId="4" borderId="7" xfId="3" applyNumberFormat="1" applyFont="1" applyFill="1" applyBorder="1" applyAlignment="1" applyProtection="1">
      <alignment horizontal="right" vertical="center"/>
      <protection locked="0"/>
    </xf>
    <xf numFmtId="0" fontId="9" fillId="4" borderId="8" xfId="3" applyNumberFormat="1" applyFont="1" applyFill="1" applyBorder="1" applyAlignment="1" applyProtection="1">
      <alignment horizontal="right" vertical="center"/>
      <protection locked="0"/>
    </xf>
    <xf numFmtId="0" fontId="21" fillId="0" borderId="20" xfId="0" applyFont="1" applyBorder="1" applyAlignment="1" applyProtection="1">
      <alignment horizontal="center" vertical="center"/>
      <protection hidden="1"/>
    </xf>
    <xf numFmtId="10" fontId="3" fillId="2" borderId="31" xfId="3" applyNumberFormat="1" applyFont="1" applyFill="1" applyBorder="1" applyAlignment="1" applyProtection="1">
      <alignment horizontal="center" vertical="center"/>
      <protection hidden="1"/>
    </xf>
    <xf numFmtId="10" fontId="3" fillId="2" borderId="32" xfId="3" applyNumberFormat="1" applyFont="1" applyFill="1" applyBorder="1" applyAlignment="1" applyProtection="1">
      <alignment horizontal="center" vertical="center"/>
      <protection hidden="1"/>
    </xf>
    <xf numFmtId="0" fontId="8" fillId="3" borderId="50" xfId="0" applyFont="1" applyFill="1" applyBorder="1" applyAlignment="1" applyProtection="1">
      <alignment horizontal="center" vertical="center"/>
      <protection hidden="1"/>
    </xf>
    <xf numFmtId="0" fontId="8" fillId="3" borderId="101" xfId="0" applyFont="1" applyFill="1" applyBorder="1" applyAlignment="1" applyProtection="1">
      <alignment horizontal="center" vertical="center"/>
      <protection hidden="1"/>
    </xf>
    <xf numFmtId="0" fontId="25" fillId="5" borderId="15" xfId="0" applyFont="1" applyFill="1" applyBorder="1" applyAlignment="1" applyProtection="1">
      <alignment horizontal="center" vertical="center" wrapText="1"/>
      <protection hidden="1"/>
    </xf>
    <xf numFmtId="0" fontId="25" fillId="5" borderId="2" xfId="0" applyFont="1" applyFill="1" applyBorder="1" applyAlignment="1" applyProtection="1">
      <alignment horizontal="center" vertical="center" wrapText="1"/>
      <protection hidden="1"/>
    </xf>
    <xf numFmtId="0" fontId="25" fillId="5" borderId="3" xfId="0" applyFont="1" applyFill="1" applyBorder="1" applyAlignment="1" applyProtection="1">
      <alignment horizontal="center" vertical="center" wrapText="1"/>
      <protection hidden="1"/>
    </xf>
    <xf numFmtId="0" fontId="25" fillId="5" borderId="17" xfId="0" applyFont="1" applyFill="1" applyBorder="1" applyAlignment="1" applyProtection="1">
      <alignment horizontal="center" vertical="center" wrapText="1"/>
      <protection hidden="1"/>
    </xf>
    <xf numFmtId="0" fontId="25" fillId="5" borderId="0" xfId="0" applyFont="1" applyFill="1" applyAlignment="1" applyProtection="1">
      <alignment horizontal="center" vertical="center" wrapText="1"/>
      <protection hidden="1"/>
    </xf>
    <xf numFmtId="0" fontId="25" fillId="5" borderId="18" xfId="0" applyFont="1" applyFill="1" applyBorder="1" applyAlignment="1" applyProtection="1">
      <alignment horizontal="center" vertical="center" wrapText="1"/>
      <protection hidden="1"/>
    </xf>
    <xf numFmtId="0" fontId="24" fillId="2" borderId="0" xfId="0" applyFont="1" applyFill="1" applyAlignment="1" applyProtection="1">
      <alignment horizontal="center" vertical="center"/>
      <protection hidden="1"/>
    </xf>
    <xf numFmtId="0" fontId="8" fillId="3" borderId="32" xfId="0" applyFont="1" applyFill="1" applyBorder="1" applyAlignment="1" applyProtection="1">
      <alignment horizontal="center" vertical="center" wrapText="1"/>
      <protection hidden="1"/>
    </xf>
    <xf numFmtId="0" fontId="8" fillId="3" borderId="51" xfId="0" applyFont="1" applyFill="1" applyBorder="1" applyAlignment="1" applyProtection="1">
      <alignment horizontal="center" vertical="center" wrapText="1"/>
      <protection hidden="1"/>
    </xf>
    <xf numFmtId="0" fontId="8" fillId="3" borderId="53" xfId="0" applyFont="1" applyFill="1" applyBorder="1" applyAlignment="1" applyProtection="1">
      <alignment horizontal="center" vertical="center" wrapText="1"/>
      <protection hidden="1"/>
    </xf>
    <xf numFmtId="0" fontId="3" fillId="8" borderId="37" xfId="0" applyFont="1" applyFill="1" applyBorder="1" applyAlignment="1" applyProtection="1">
      <alignment horizontal="left" vertical="center"/>
      <protection hidden="1"/>
    </xf>
    <xf numFmtId="0" fontId="3" fillId="8" borderId="33" xfId="0" applyFont="1" applyFill="1" applyBorder="1" applyAlignment="1" applyProtection="1">
      <alignment horizontal="left" vertical="center"/>
      <protection hidden="1"/>
    </xf>
    <xf numFmtId="164" fontId="3" fillId="2" borderId="103" xfId="2" applyNumberFormat="1" applyFont="1" applyFill="1" applyBorder="1" applyAlignment="1" applyProtection="1">
      <alignment horizontal="right" vertical="center"/>
      <protection hidden="1"/>
    </xf>
    <xf numFmtId="164" fontId="3" fillId="2" borderId="104" xfId="2" applyNumberFormat="1" applyFont="1" applyFill="1" applyBorder="1" applyAlignment="1" applyProtection="1">
      <alignment horizontal="right" vertical="center"/>
      <protection hidden="1"/>
    </xf>
    <xf numFmtId="10" fontId="9" fillId="4" borderId="112" xfId="3" applyNumberFormat="1" applyFont="1" applyFill="1" applyBorder="1" applyAlignment="1" applyProtection="1">
      <alignment vertical="center"/>
      <protection locked="0"/>
    </xf>
    <xf numFmtId="10" fontId="9" fillId="4" borderId="123" xfId="3" applyNumberFormat="1" applyFont="1" applyFill="1" applyBorder="1" applyAlignment="1" applyProtection="1">
      <alignment vertical="center"/>
      <protection locked="0"/>
    </xf>
    <xf numFmtId="164" fontId="9" fillId="4" borderId="106" xfId="2" applyNumberFormat="1" applyFont="1" applyFill="1" applyBorder="1" applyAlignment="1" applyProtection="1">
      <alignment vertical="center"/>
      <protection locked="0"/>
    </xf>
    <xf numFmtId="164" fontId="9" fillId="4" borderId="107" xfId="2" applyNumberFormat="1" applyFont="1" applyFill="1" applyBorder="1" applyAlignment="1" applyProtection="1">
      <alignment vertical="center"/>
      <protection locked="0"/>
    </xf>
    <xf numFmtId="10" fontId="9" fillId="4" borderId="109" xfId="3" applyNumberFormat="1" applyFont="1" applyFill="1" applyBorder="1" applyAlignment="1" applyProtection="1">
      <alignment vertical="center"/>
      <protection locked="0"/>
    </xf>
    <xf numFmtId="164" fontId="9" fillId="4" borderId="109" xfId="2" applyNumberFormat="1" applyFont="1" applyFill="1" applyBorder="1" applyAlignment="1" applyProtection="1">
      <alignment vertical="center"/>
      <protection locked="0"/>
    </xf>
    <xf numFmtId="164" fontId="9" fillId="4" borderId="112" xfId="2" applyNumberFormat="1" applyFont="1" applyFill="1" applyBorder="1" applyAlignment="1" applyProtection="1">
      <alignment vertical="center"/>
      <protection locked="0"/>
    </xf>
    <xf numFmtId="164" fontId="9" fillId="4" borderId="123" xfId="2" applyNumberFormat="1" applyFont="1" applyFill="1" applyBorder="1" applyAlignment="1" applyProtection="1">
      <alignment vertical="center"/>
      <protection locked="0"/>
    </xf>
    <xf numFmtId="164" fontId="3" fillId="2" borderId="149" xfId="2" applyNumberFormat="1" applyFont="1" applyFill="1" applyBorder="1" applyAlignment="1" applyProtection="1">
      <alignment horizontal="right" vertical="center"/>
      <protection hidden="1"/>
    </xf>
    <xf numFmtId="164" fontId="0" fillId="6" borderId="14" xfId="0" applyNumberFormat="1" applyFill="1" applyBorder="1" applyAlignment="1" applyProtection="1">
      <alignment vertical="center"/>
      <protection hidden="1"/>
    </xf>
    <xf numFmtId="164" fontId="0" fillId="0" borderId="14" xfId="0" applyNumberFormat="1" applyBorder="1" applyAlignment="1" applyProtection="1">
      <alignment vertical="center"/>
      <protection hidden="1"/>
    </xf>
    <xf numFmtId="164" fontId="0" fillId="6" borderId="14" xfId="2" applyNumberFormat="1" applyFont="1" applyFill="1" applyBorder="1" applyAlignment="1" applyProtection="1">
      <alignment vertical="center"/>
      <protection hidden="1"/>
    </xf>
    <xf numFmtId="0" fontId="0" fillId="0" borderId="0" xfId="0" applyAlignment="1" applyProtection="1">
      <alignment horizontal="left" vertical="center"/>
      <protection hidden="1"/>
    </xf>
    <xf numFmtId="164" fontId="0" fillId="6" borderId="8" xfId="2" applyNumberFormat="1" applyFont="1" applyFill="1" applyBorder="1" applyAlignment="1" applyProtection="1">
      <alignment vertical="center"/>
      <protection hidden="1"/>
    </xf>
    <xf numFmtId="0" fontId="7" fillId="3" borderId="32" xfId="0" applyFont="1" applyFill="1" applyBorder="1" applyAlignment="1" applyProtection="1">
      <alignment horizontal="center" vertical="center" wrapText="1"/>
      <protection hidden="1"/>
    </xf>
    <xf numFmtId="0" fontId="7" fillId="3" borderId="43" xfId="0" applyFont="1" applyFill="1" applyBorder="1" applyAlignment="1" applyProtection="1">
      <alignment horizontal="center" vertical="center" wrapText="1"/>
      <protection hidden="1"/>
    </xf>
    <xf numFmtId="0" fontId="0" fillId="0" borderId="14" xfId="0" applyBorder="1" applyAlignment="1" applyProtection="1">
      <alignment vertical="center"/>
      <protection hidden="1"/>
    </xf>
    <xf numFmtId="9" fontId="17" fillId="4" borderId="7" xfId="2" applyNumberFormat="1" applyFont="1" applyFill="1" applyBorder="1" applyAlignment="1" applyProtection="1">
      <alignment vertical="center"/>
      <protection locked="0"/>
    </xf>
    <xf numFmtId="9" fontId="17" fillId="4" borderId="8" xfId="2" applyNumberFormat="1" applyFont="1" applyFill="1" applyBorder="1" applyAlignment="1" applyProtection="1">
      <alignment vertical="center"/>
      <protection locked="0"/>
    </xf>
    <xf numFmtId="9" fontId="17" fillId="4" borderId="7" xfId="3" applyFont="1" applyFill="1" applyBorder="1" applyAlignment="1" applyProtection="1">
      <alignment vertical="center"/>
      <protection locked="0"/>
    </xf>
    <xf numFmtId="9" fontId="17" fillId="4" borderId="8" xfId="3" applyFont="1" applyFill="1" applyBorder="1" applyAlignment="1" applyProtection="1">
      <alignment vertical="center"/>
      <protection locked="0"/>
    </xf>
    <xf numFmtId="0" fontId="7" fillId="3" borderId="50" xfId="0" applyFont="1" applyFill="1" applyBorder="1" applyAlignment="1" applyProtection="1">
      <alignment horizontal="center" vertical="center"/>
      <protection hidden="1"/>
    </xf>
    <xf numFmtId="0" fontId="7" fillId="3" borderId="42" xfId="0" applyFont="1" applyFill="1" applyBorder="1" applyAlignment="1" applyProtection="1">
      <alignment horizontal="center" vertical="center"/>
      <protection hidden="1"/>
    </xf>
    <xf numFmtId="0" fontId="7" fillId="3" borderId="32" xfId="0" applyFont="1" applyFill="1" applyBorder="1" applyAlignment="1" applyProtection="1">
      <alignment horizontal="center" vertical="center"/>
      <protection hidden="1"/>
    </xf>
    <xf numFmtId="0" fontId="7" fillId="3" borderId="43" xfId="0" applyFont="1" applyFill="1" applyBorder="1" applyAlignment="1" applyProtection="1">
      <alignment horizontal="center" vertical="center"/>
      <protection hidden="1"/>
    </xf>
    <xf numFmtId="164" fontId="17" fillId="4" borderId="7" xfId="2" applyNumberFormat="1" applyFont="1" applyFill="1" applyBorder="1" applyAlignment="1" applyProtection="1">
      <alignment vertical="center"/>
      <protection locked="0"/>
    </xf>
    <xf numFmtId="164" fontId="17" fillId="4" borderId="8" xfId="2" applyNumberFormat="1" applyFont="1" applyFill="1" applyBorder="1" applyAlignment="1" applyProtection="1">
      <alignment vertical="center"/>
      <protection locked="0"/>
    </xf>
    <xf numFmtId="0" fontId="22" fillId="0" borderId="0" xfId="0" applyFont="1" applyAlignment="1" applyProtection="1">
      <alignment horizontal="left" vertical="center"/>
      <protection hidden="1"/>
    </xf>
    <xf numFmtId="0" fontId="0" fillId="0" borderId="0" xfId="0" applyProtection="1">
      <protection hidden="1"/>
    </xf>
    <xf numFmtId="164" fontId="12" fillId="2" borderId="22" xfId="2" applyNumberFormat="1" applyFont="1" applyFill="1" applyBorder="1" applyAlignment="1" applyProtection="1">
      <alignment horizontal="right" vertical="center"/>
      <protection hidden="1"/>
    </xf>
    <xf numFmtId="164" fontId="12" fillId="2" borderId="23" xfId="2" applyNumberFormat="1" applyFont="1" applyFill="1" applyBorder="1" applyAlignment="1" applyProtection="1">
      <alignment horizontal="right" vertical="center"/>
      <protection hidden="1"/>
    </xf>
    <xf numFmtId="9" fontId="7" fillId="4" borderId="14" xfId="2" applyNumberFormat="1" applyFont="1" applyFill="1" applyBorder="1" applyAlignment="1" applyProtection="1">
      <alignment horizontal="right" vertical="center"/>
      <protection locked="0"/>
    </xf>
    <xf numFmtId="164" fontId="12" fillId="2" borderId="24" xfId="2" applyNumberFormat="1" applyFont="1" applyFill="1" applyBorder="1" applyAlignment="1" applyProtection="1">
      <alignment horizontal="right" vertical="center"/>
      <protection hidden="1"/>
    </xf>
    <xf numFmtId="164" fontId="7" fillId="4" borderId="14" xfId="2" applyNumberFormat="1" applyFont="1" applyFill="1" applyBorder="1" applyAlignment="1" applyProtection="1">
      <alignment horizontal="right" vertical="center"/>
      <protection locked="0"/>
    </xf>
    <xf numFmtId="0" fontId="7" fillId="3" borderId="51" xfId="0" applyFont="1" applyFill="1" applyBorder="1" applyAlignment="1" applyProtection="1">
      <alignment horizontal="center" vertical="center" wrapText="1"/>
      <protection hidden="1"/>
    </xf>
    <xf numFmtId="0" fontId="7" fillId="3" borderId="44" xfId="0" applyFont="1" applyFill="1" applyBorder="1" applyAlignment="1" applyProtection="1">
      <alignment horizontal="center" vertical="center" wrapText="1"/>
      <protection hidden="1"/>
    </xf>
    <xf numFmtId="0" fontId="15" fillId="0" borderId="15" xfId="0" applyFont="1" applyBorder="1" applyAlignment="1" applyProtection="1">
      <alignment horizontal="center" vertical="center"/>
      <protection hidden="1"/>
    </xf>
    <xf numFmtId="0" fontId="15" fillId="0" borderId="2" xfId="0" applyFont="1" applyBorder="1" applyAlignment="1" applyProtection="1">
      <alignment horizontal="center" vertical="center"/>
      <protection hidden="1"/>
    </xf>
    <xf numFmtId="0" fontId="15" fillId="0" borderId="3" xfId="0" applyFont="1" applyBorder="1" applyAlignment="1" applyProtection="1">
      <alignment horizontal="center" vertical="center"/>
      <protection hidden="1"/>
    </xf>
    <xf numFmtId="0" fontId="0" fillId="0" borderId="17" xfId="0" applyBorder="1" applyAlignment="1" applyProtection="1">
      <alignment horizontal="center" vertical="center"/>
      <protection hidden="1"/>
    </xf>
    <xf numFmtId="0" fontId="0" fillId="0" borderId="0" xfId="0" applyAlignment="1" applyProtection="1">
      <alignment horizontal="center" vertical="center"/>
      <protection hidden="1"/>
    </xf>
    <xf numFmtId="0" fontId="0" fillId="0" borderId="18" xfId="0" applyBorder="1" applyAlignment="1" applyProtection="1">
      <alignment horizontal="center" vertical="center"/>
      <protection hidden="1"/>
    </xf>
    <xf numFmtId="0" fontId="7" fillId="3" borderId="154" xfId="0" applyFont="1" applyFill="1" applyBorder="1" applyAlignment="1" applyProtection="1">
      <alignment horizontal="center" vertical="center"/>
      <protection hidden="1"/>
    </xf>
    <xf numFmtId="0" fontId="7" fillId="3" borderId="128" xfId="0" applyFont="1" applyFill="1" applyBorder="1" applyAlignment="1" applyProtection="1">
      <alignment horizontal="center" vertical="center"/>
      <protection hidden="1"/>
    </xf>
    <xf numFmtId="164" fontId="9" fillId="4" borderId="64" xfId="2" applyNumberFormat="1" applyFont="1" applyFill="1" applyBorder="1" applyAlignment="1" applyProtection="1">
      <alignment vertical="center"/>
      <protection locked="0"/>
    </xf>
    <xf numFmtId="164" fontId="3" fillId="7" borderId="76" xfId="2" applyNumberFormat="1" applyFont="1" applyFill="1" applyBorder="1" applyAlignment="1" applyProtection="1">
      <alignment horizontal="right" vertical="center"/>
      <protection hidden="1"/>
    </xf>
    <xf numFmtId="164" fontId="3" fillId="7" borderId="65" xfId="2" applyNumberFormat="1" applyFont="1" applyFill="1" applyBorder="1" applyAlignment="1" applyProtection="1">
      <alignment horizontal="right" vertical="center"/>
      <protection hidden="1"/>
    </xf>
    <xf numFmtId="10" fontId="9" fillId="4" borderId="7" xfId="2" applyNumberFormat="1" applyFont="1" applyFill="1" applyBorder="1" applyAlignment="1" applyProtection="1">
      <alignment horizontal="right" vertical="center"/>
      <protection locked="0"/>
    </xf>
    <xf numFmtId="10" fontId="9" fillId="4" borderId="64" xfId="2" applyNumberFormat="1" applyFont="1" applyFill="1" applyBorder="1" applyAlignment="1" applyProtection="1">
      <alignment horizontal="right" vertical="center"/>
      <protection locked="0"/>
    </xf>
    <xf numFmtId="164" fontId="3" fillId="2" borderId="37" xfId="2" applyNumberFormat="1" applyFont="1" applyFill="1" applyBorder="1" applyAlignment="1" applyProtection="1">
      <alignment horizontal="center" vertical="center"/>
      <protection hidden="1"/>
    </xf>
    <xf numFmtId="164" fontId="3" fillId="2" borderId="39" xfId="2" applyNumberFormat="1" applyFont="1" applyFill="1" applyBorder="1" applyAlignment="1" applyProtection="1">
      <alignment horizontal="center" vertical="center"/>
      <protection hidden="1"/>
    </xf>
    <xf numFmtId="164" fontId="3" fillId="2" borderId="38" xfId="2" applyNumberFormat="1" applyFont="1" applyFill="1" applyBorder="1" applyAlignment="1" applyProtection="1">
      <alignment horizontal="center" vertical="center"/>
      <protection hidden="1"/>
    </xf>
    <xf numFmtId="164" fontId="3" fillId="2" borderId="40" xfId="2" applyNumberFormat="1" applyFont="1" applyFill="1" applyBorder="1" applyAlignment="1" applyProtection="1">
      <alignment horizontal="center" vertical="center"/>
      <protection hidden="1"/>
    </xf>
    <xf numFmtId="164" fontId="3" fillId="2" borderId="11" xfId="0" applyNumberFormat="1" applyFont="1" applyFill="1" applyBorder="1" applyAlignment="1" applyProtection="1">
      <alignment horizontal="center" vertical="center"/>
      <protection hidden="1"/>
    </xf>
    <xf numFmtId="164" fontId="3" fillId="2" borderId="12" xfId="0" applyNumberFormat="1" applyFont="1" applyFill="1" applyBorder="1" applyAlignment="1" applyProtection="1">
      <alignment horizontal="center" vertical="center"/>
      <protection hidden="1"/>
    </xf>
    <xf numFmtId="0" fontId="3" fillId="2" borderId="4" xfId="0" applyFont="1" applyFill="1" applyBorder="1" applyAlignment="1" applyProtection="1">
      <alignment horizontal="center" vertical="center"/>
      <protection hidden="1"/>
    </xf>
    <xf numFmtId="10" fontId="9" fillId="4" borderId="96" xfId="2" applyNumberFormat="1" applyFont="1" applyFill="1" applyBorder="1" applyAlignment="1" applyProtection="1">
      <alignment horizontal="right" vertical="center"/>
      <protection locked="0"/>
    </xf>
    <xf numFmtId="10" fontId="9" fillId="4" borderId="97" xfId="2" applyNumberFormat="1" applyFont="1" applyFill="1" applyBorder="1" applyAlignment="1" applyProtection="1">
      <alignment horizontal="right" vertical="center"/>
      <protection locked="0"/>
    </xf>
    <xf numFmtId="0" fontId="2" fillId="0" borderId="17"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164" fontId="9" fillId="4" borderId="35" xfId="2" applyNumberFormat="1" applyFont="1" applyFill="1" applyBorder="1" applyAlignment="1" applyProtection="1">
      <alignment vertical="center"/>
      <protection locked="0"/>
    </xf>
    <xf numFmtId="164" fontId="9" fillId="4" borderId="95" xfId="2" applyNumberFormat="1" applyFont="1" applyFill="1" applyBorder="1" applyAlignment="1" applyProtection="1">
      <alignment vertical="center"/>
      <protection locked="0"/>
    </xf>
    <xf numFmtId="10" fontId="9" fillId="4" borderId="64" xfId="2" applyNumberFormat="1" applyFont="1" applyFill="1" applyBorder="1" applyAlignment="1" applyProtection="1">
      <alignment vertical="center"/>
      <protection locked="0"/>
    </xf>
    <xf numFmtId="0" fontId="10" fillId="0" borderId="70" xfId="0" applyFont="1" applyBorder="1" applyAlignment="1" applyProtection="1">
      <alignment horizontal="left" vertical="center"/>
      <protection hidden="1"/>
    </xf>
    <xf numFmtId="0" fontId="10" fillId="0" borderId="71" xfId="0" applyFont="1" applyBorder="1" applyAlignment="1" applyProtection="1">
      <alignment horizontal="left" vertical="center"/>
      <protection hidden="1"/>
    </xf>
    <xf numFmtId="0" fontId="10" fillId="0" borderId="72" xfId="0" applyFont="1" applyBorder="1" applyAlignment="1" applyProtection="1">
      <alignment horizontal="left" vertical="center"/>
      <protection hidden="1"/>
    </xf>
    <xf numFmtId="164" fontId="3" fillId="2" borderId="38" xfId="2" applyNumberFormat="1" applyFont="1" applyFill="1" applyBorder="1" applyAlignment="1" applyProtection="1">
      <alignment horizontal="right" vertical="center"/>
      <protection hidden="1"/>
    </xf>
    <xf numFmtId="164" fontId="3" fillId="2" borderId="40" xfId="2" applyNumberFormat="1" applyFont="1" applyFill="1" applyBorder="1" applyAlignment="1" applyProtection="1">
      <alignment horizontal="right" vertical="center"/>
      <protection hidden="1"/>
    </xf>
    <xf numFmtId="0" fontId="9" fillId="0" borderId="93" xfId="0" applyFont="1" applyBorder="1" applyAlignment="1" applyProtection="1">
      <alignment horizontal="left" vertical="center"/>
      <protection hidden="1"/>
    </xf>
    <xf numFmtId="0" fontId="9" fillId="0" borderId="73" xfId="0" applyFont="1" applyBorder="1" applyAlignment="1" applyProtection="1">
      <alignment horizontal="left" vertical="center"/>
      <protection hidden="1"/>
    </xf>
    <xf numFmtId="0" fontId="9" fillId="0" borderId="92" xfId="0" applyFont="1" applyBorder="1" applyAlignment="1" applyProtection="1">
      <alignment horizontal="left" vertical="center"/>
      <protection hidden="1"/>
    </xf>
    <xf numFmtId="164" fontId="0" fillId="0" borderId="13" xfId="2" applyNumberFormat="1" applyFont="1" applyBorder="1" applyAlignment="1" applyProtection="1">
      <alignment horizontal="right" vertical="center"/>
      <protection hidden="1"/>
    </xf>
    <xf numFmtId="0" fontId="0" fillId="0" borderId="13" xfId="0" applyBorder="1" applyAlignment="1" applyProtection="1">
      <alignment horizontal="right" vertical="center"/>
      <protection hidden="1"/>
    </xf>
    <xf numFmtId="164" fontId="9" fillId="4" borderId="98" xfId="2" applyNumberFormat="1" applyFont="1" applyFill="1" applyBorder="1" applyAlignment="1" applyProtection="1">
      <alignment vertical="center"/>
      <protection locked="0"/>
    </xf>
    <xf numFmtId="164" fontId="9" fillId="4" borderId="99" xfId="2" applyNumberFormat="1" applyFont="1" applyFill="1" applyBorder="1" applyAlignment="1" applyProtection="1">
      <alignment vertical="center"/>
      <protection locked="0"/>
    </xf>
    <xf numFmtId="164" fontId="3" fillId="7" borderId="7" xfId="2" applyNumberFormat="1" applyFont="1" applyFill="1" applyBorder="1" applyAlignment="1" applyProtection="1">
      <alignment horizontal="right" vertical="center"/>
      <protection hidden="1"/>
    </xf>
    <xf numFmtId="164" fontId="3" fillId="7" borderId="64" xfId="2" applyNumberFormat="1" applyFont="1" applyFill="1" applyBorder="1" applyAlignment="1" applyProtection="1">
      <alignment horizontal="right" vertical="center"/>
      <protection hidden="1"/>
    </xf>
    <xf numFmtId="0" fontId="7" fillId="3" borderId="151" xfId="0" applyFont="1" applyFill="1" applyBorder="1" applyAlignment="1" applyProtection="1">
      <alignment horizontal="center" vertical="center"/>
      <protection hidden="1"/>
    </xf>
    <xf numFmtId="0" fontId="7" fillId="3" borderId="152" xfId="0" applyFont="1" applyFill="1" applyBorder="1" applyAlignment="1" applyProtection="1">
      <alignment horizontal="center" vertical="center"/>
      <protection hidden="1"/>
    </xf>
    <xf numFmtId="0" fontId="21" fillId="0" borderId="7" xfId="0" applyFont="1" applyBorder="1" applyAlignment="1" applyProtection="1">
      <alignment horizontal="right" vertical="center"/>
      <protection hidden="1"/>
    </xf>
    <xf numFmtId="0" fontId="21" fillId="0" borderId="8" xfId="0" applyFont="1" applyBorder="1" applyAlignment="1" applyProtection="1">
      <alignment horizontal="right" vertical="center"/>
      <protection hidden="1"/>
    </xf>
    <xf numFmtId="0" fontId="7" fillId="3" borderId="155" xfId="0" applyFont="1" applyFill="1" applyBorder="1" applyAlignment="1" applyProtection="1">
      <alignment horizontal="center" vertical="center"/>
      <protection hidden="1"/>
    </xf>
    <xf numFmtId="0" fontId="7" fillId="3" borderId="156" xfId="0" applyFont="1" applyFill="1" applyBorder="1" applyAlignment="1" applyProtection="1">
      <alignment horizontal="center" vertical="center"/>
      <protection hidden="1"/>
    </xf>
    <xf numFmtId="0" fontId="7" fillId="3" borderId="157" xfId="0" applyFont="1" applyFill="1" applyBorder="1" applyAlignment="1" applyProtection="1">
      <alignment horizontal="center" vertical="center"/>
      <protection hidden="1"/>
    </xf>
    <xf numFmtId="164" fontId="0" fillId="0" borderId="13" xfId="2" applyNumberFormat="1" applyFont="1" applyBorder="1" applyAlignment="1" applyProtection="1">
      <alignment vertical="center"/>
      <protection hidden="1"/>
    </xf>
    <xf numFmtId="0" fontId="0" fillId="0" borderId="13" xfId="0" applyBorder="1" applyAlignment="1" applyProtection="1">
      <alignment vertical="center"/>
      <protection hidden="1"/>
    </xf>
    <xf numFmtId="164" fontId="0" fillId="0" borderId="13" xfId="0" applyNumberFormat="1" applyBorder="1" applyAlignment="1" applyProtection="1">
      <alignment horizontal="right" vertical="center"/>
      <protection hidden="1"/>
    </xf>
    <xf numFmtId="0" fontId="0" fillId="0" borderId="13" xfId="0" applyBorder="1" applyAlignment="1" applyProtection="1">
      <alignment horizontal="center" vertical="center"/>
      <protection hidden="1"/>
    </xf>
    <xf numFmtId="164" fontId="0" fillId="0" borderId="13" xfId="0" applyNumberFormat="1" applyBorder="1" applyAlignment="1" applyProtection="1">
      <alignment vertical="center"/>
      <protection hidden="1"/>
    </xf>
    <xf numFmtId="0" fontId="0" fillId="0" borderId="13" xfId="0" applyBorder="1" applyProtection="1">
      <protection hidden="1"/>
    </xf>
    <xf numFmtId="164" fontId="9" fillId="9" borderId="6" xfId="2" applyNumberFormat="1" applyFont="1" applyFill="1" applyBorder="1" applyAlignment="1" applyProtection="1">
      <alignment vertical="center"/>
      <protection hidden="1"/>
    </xf>
    <xf numFmtId="164" fontId="9" fillId="9" borderId="8" xfId="2" applyNumberFormat="1" applyFont="1" applyFill="1" applyBorder="1" applyAlignment="1" applyProtection="1">
      <alignment vertical="center"/>
      <protection hidden="1"/>
    </xf>
    <xf numFmtId="0" fontId="2" fillId="4" borderId="6" xfId="0" applyFont="1" applyFill="1" applyBorder="1" applyAlignment="1" applyProtection="1">
      <alignment vertical="center"/>
      <protection locked="0"/>
    </xf>
    <xf numFmtId="0" fontId="2" fillId="4" borderId="7" xfId="0" applyFont="1" applyFill="1" applyBorder="1" applyAlignment="1" applyProtection="1">
      <alignment vertical="center"/>
      <protection locked="0"/>
    </xf>
    <xf numFmtId="0" fontId="2" fillId="4" borderId="8" xfId="0" applyFont="1" applyFill="1" applyBorder="1" applyAlignment="1" applyProtection="1">
      <alignment vertical="center"/>
      <protection locked="0"/>
    </xf>
    <xf numFmtId="164" fontId="2" fillId="4" borderId="6" xfId="2" applyNumberFormat="1" applyFont="1" applyFill="1" applyBorder="1" applyAlignment="1" applyProtection="1">
      <alignment vertical="center"/>
      <protection locked="0"/>
    </xf>
    <xf numFmtId="164" fontId="2" fillId="4" borderId="8" xfId="2" applyNumberFormat="1" applyFont="1" applyFill="1" applyBorder="1" applyAlignment="1" applyProtection="1">
      <alignment vertical="center"/>
      <protection locked="0"/>
    </xf>
    <xf numFmtId="0" fontId="3" fillId="2" borderId="28" xfId="0" applyFont="1" applyFill="1" applyBorder="1" applyAlignment="1">
      <alignment horizontal="center" vertical="center"/>
    </xf>
    <xf numFmtId="0" fontId="3" fillId="2" borderId="29" xfId="0" applyFont="1" applyFill="1" applyBorder="1" applyAlignment="1">
      <alignment horizontal="center" vertical="center"/>
    </xf>
    <xf numFmtId="164" fontId="3" fillId="2" borderId="153" xfId="2" applyNumberFormat="1" applyFont="1" applyFill="1" applyBorder="1" applyAlignment="1" applyProtection="1">
      <alignment horizontal="right" vertical="center"/>
      <protection hidden="1"/>
    </xf>
    <xf numFmtId="164" fontId="3" fillId="2" borderId="37" xfId="2" applyNumberFormat="1" applyFont="1" applyFill="1" applyBorder="1" applyAlignment="1" applyProtection="1">
      <alignment horizontal="right" vertical="center"/>
      <protection hidden="1"/>
    </xf>
    <xf numFmtId="164" fontId="3" fillId="2" borderId="33" xfId="2" applyNumberFormat="1" applyFont="1" applyFill="1" applyBorder="1" applyAlignment="1" applyProtection="1">
      <alignment horizontal="right" vertical="center"/>
      <protection hidden="1"/>
    </xf>
    <xf numFmtId="164" fontId="8" fillId="4" borderId="7" xfId="2" applyNumberFormat="1" applyFont="1" applyFill="1" applyBorder="1" applyAlignment="1" applyProtection="1">
      <alignment horizontal="right" vertical="center"/>
      <protection locked="0"/>
    </xf>
    <xf numFmtId="164" fontId="8" fillId="4" borderId="8" xfId="2" applyNumberFormat="1" applyFont="1" applyFill="1" applyBorder="1" applyAlignment="1" applyProtection="1">
      <alignment horizontal="right" vertical="center"/>
      <protection locked="0"/>
    </xf>
    <xf numFmtId="164" fontId="3" fillId="2" borderId="33" xfId="0" applyNumberFormat="1" applyFont="1" applyFill="1" applyBorder="1" applyAlignment="1" applyProtection="1">
      <alignment horizontal="right" vertical="center"/>
      <protection hidden="1"/>
    </xf>
    <xf numFmtId="6" fontId="3" fillId="2" borderId="33" xfId="0" applyNumberFormat="1" applyFont="1" applyFill="1" applyBorder="1" applyAlignment="1" applyProtection="1">
      <alignment horizontal="right" vertical="center"/>
      <protection hidden="1"/>
    </xf>
    <xf numFmtId="164" fontId="3" fillId="2" borderId="7" xfId="2" applyNumberFormat="1" applyFont="1" applyFill="1" applyBorder="1" applyAlignment="1" applyProtection="1">
      <alignment horizontal="right" vertical="center"/>
      <protection hidden="1"/>
    </xf>
    <xf numFmtId="0" fontId="2" fillId="0" borderId="7"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2" fillId="0" borderId="6"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0" borderId="6" xfId="0" applyFont="1" applyBorder="1" applyAlignment="1" applyProtection="1">
      <alignment horizontal="left" vertical="center"/>
      <protection hidden="1"/>
    </xf>
    <xf numFmtId="0" fontId="2" fillId="0" borderId="7" xfId="0" applyFont="1" applyBorder="1" applyAlignment="1" applyProtection="1">
      <alignment horizontal="left" vertical="center"/>
      <protection hidden="1"/>
    </xf>
    <xf numFmtId="164" fontId="38" fillId="0" borderId="0" xfId="0" applyNumberFormat="1" applyFont="1" applyAlignment="1" applyProtection="1">
      <alignment horizontal="right" vertical="center"/>
      <protection hidden="1"/>
    </xf>
    <xf numFmtId="0" fontId="35" fillId="0" borderId="187" xfId="0" applyFont="1" applyBorder="1" applyAlignment="1" applyProtection="1">
      <alignment horizontal="left" vertical="center"/>
      <protection hidden="1"/>
    </xf>
    <xf numFmtId="0" fontId="3" fillId="2" borderId="103" xfId="0" applyFont="1" applyFill="1" applyBorder="1" applyAlignment="1" applyProtection="1">
      <alignment horizontal="center" vertical="center"/>
      <protection hidden="1"/>
    </xf>
    <xf numFmtId="0" fontId="3" fillId="2" borderId="104" xfId="0" applyFont="1" applyFill="1" applyBorder="1" applyAlignment="1" applyProtection="1">
      <alignment horizontal="center" vertical="center"/>
      <protection hidden="1"/>
    </xf>
    <xf numFmtId="0" fontId="3" fillId="2" borderId="103" xfId="0" applyFont="1" applyFill="1" applyBorder="1" applyAlignment="1" applyProtection="1">
      <alignment horizontal="center" vertical="center" shrinkToFit="1"/>
      <protection hidden="1"/>
    </xf>
    <xf numFmtId="0" fontId="38" fillId="0" borderId="0" xfId="0" applyFont="1" applyAlignment="1" applyProtection="1">
      <alignment horizontal="right" vertical="center"/>
      <protection hidden="1"/>
    </xf>
    <xf numFmtId="164" fontId="2" fillId="0" borderId="13" xfId="2" applyNumberFormat="1" applyFont="1" applyBorder="1" applyAlignment="1" applyProtection="1">
      <alignment vertical="center"/>
      <protection hidden="1"/>
    </xf>
    <xf numFmtId="164" fontId="2" fillId="9" borderId="13" xfId="2" applyNumberFormat="1" applyFont="1" applyFill="1" applyBorder="1" applyAlignment="1" applyProtection="1">
      <alignment vertical="center"/>
      <protection hidden="1"/>
    </xf>
    <xf numFmtId="0" fontId="3" fillId="2" borderId="188" xfId="0" applyFont="1" applyFill="1" applyBorder="1" applyAlignment="1">
      <alignment horizontal="center" vertical="center"/>
    </xf>
    <xf numFmtId="0" fontId="3" fillId="2" borderId="191" xfId="0" applyFont="1" applyFill="1" applyBorder="1" applyAlignment="1">
      <alignment horizontal="center" vertical="center"/>
    </xf>
    <xf numFmtId="0" fontId="9" fillId="15" borderId="134" xfId="0" applyFont="1" applyFill="1" applyBorder="1" applyAlignment="1">
      <alignment horizontal="center" vertical="center"/>
    </xf>
    <xf numFmtId="0" fontId="9" fillId="15" borderId="187" xfId="0" applyFont="1" applyFill="1" applyBorder="1" applyAlignment="1">
      <alignment horizontal="center" vertical="center"/>
    </xf>
    <xf numFmtId="0" fontId="9" fillId="15" borderId="135" xfId="0" applyFont="1" applyFill="1" applyBorder="1" applyAlignment="1">
      <alignment horizontal="center" vertical="center"/>
    </xf>
    <xf numFmtId="164" fontId="8" fillId="16" borderId="37" xfId="2" applyNumberFormat="1" applyFont="1" applyFill="1" applyBorder="1" applyAlignment="1" applyProtection="1">
      <alignment vertical="center"/>
      <protection hidden="1"/>
    </xf>
    <xf numFmtId="164" fontId="8" fillId="16" borderId="38" xfId="2" applyNumberFormat="1" applyFont="1" applyFill="1" applyBorder="1" applyAlignment="1" applyProtection="1">
      <alignment vertical="center"/>
      <protection hidden="1"/>
    </xf>
    <xf numFmtId="0" fontId="8" fillId="9" borderId="15" xfId="0" applyFont="1" applyFill="1" applyBorder="1" applyAlignment="1">
      <alignment horizontal="left" vertical="center" wrapText="1"/>
    </xf>
    <xf numFmtId="0" fontId="8" fillId="9" borderId="2" xfId="0" applyFont="1" applyFill="1" applyBorder="1" applyAlignment="1">
      <alignment horizontal="left" vertical="center" wrapText="1"/>
    </xf>
    <xf numFmtId="0" fontId="8" fillId="9" borderId="186" xfId="0" applyFont="1" applyFill="1" applyBorder="1" applyAlignment="1">
      <alignment horizontal="left" vertical="center" wrapText="1"/>
    </xf>
    <xf numFmtId="0" fontId="8" fillId="9" borderId="153" xfId="0" applyFont="1" applyFill="1" applyBorder="1" applyAlignment="1">
      <alignment horizontal="left" vertical="center" wrapText="1"/>
    </xf>
    <xf numFmtId="0" fontId="8" fillId="9" borderId="37" xfId="0" applyFont="1" applyFill="1" applyBorder="1" applyAlignment="1">
      <alignment horizontal="left" vertical="center" wrapText="1"/>
    </xf>
    <xf numFmtId="0" fontId="8" fillId="9" borderId="181" xfId="0" applyFont="1" applyFill="1" applyBorder="1" applyAlignment="1">
      <alignment horizontal="left" vertical="center" wrapText="1"/>
    </xf>
    <xf numFmtId="164" fontId="9" fillId="16" borderId="0" xfId="2" applyNumberFormat="1" applyFont="1" applyFill="1" applyAlignment="1" applyProtection="1">
      <alignment horizontal="right" vertical="center"/>
      <protection hidden="1"/>
    </xf>
    <xf numFmtId="164" fontId="9" fillId="16" borderId="37" xfId="2" applyNumberFormat="1" applyFont="1" applyFill="1" applyBorder="1" applyAlignment="1" applyProtection="1">
      <alignment horizontal="right" vertical="center"/>
      <protection hidden="1"/>
    </xf>
    <xf numFmtId="164" fontId="3" fillId="8" borderId="0" xfId="0" applyNumberFormat="1" applyFont="1" applyFill="1" applyAlignment="1" applyProtection="1">
      <alignment horizontal="right" vertical="center"/>
      <protection hidden="1"/>
    </xf>
    <xf numFmtId="0" fontId="3" fillId="8" borderId="0" xfId="0" applyFont="1" applyFill="1" applyAlignment="1" applyProtection="1">
      <alignment horizontal="right" vertical="center"/>
      <protection hidden="1"/>
    </xf>
    <xf numFmtId="164" fontId="3" fillId="8" borderId="0" xfId="2" applyNumberFormat="1" applyFont="1" applyFill="1" applyAlignment="1" applyProtection="1">
      <alignment horizontal="right" vertical="center"/>
      <protection hidden="1"/>
    </xf>
    <xf numFmtId="0" fontId="8" fillId="9" borderId="17" xfId="0" applyFont="1" applyFill="1" applyBorder="1" applyAlignment="1">
      <alignment horizontal="left" vertical="center" wrapText="1"/>
    </xf>
    <xf numFmtId="0" fontId="8" fillId="9" borderId="0" xfId="0" applyFont="1" applyFill="1" applyAlignment="1">
      <alignment horizontal="left" vertical="center" wrapText="1"/>
    </xf>
    <xf numFmtId="0" fontId="8" fillId="9" borderId="179" xfId="0" applyFont="1" applyFill="1" applyBorder="1" applyAlignment="1">
      <alignment horizontal="left" vertical="center" wrapText="1"/>
    </xf>
    <xf numFmtId="0" fontId="8" fillId="9" borderId="26" xfId="0" applyFont="1" applyFill="1" applyBorder="1" applyAlignment="1">
      <alignment horizontal="left" vertical="center" wrapText="1"/>
    </xf>
    <xf numFmtId="0" fontId="8" fillId="9" borderId="4" xfId="0" applyFont="1" applyFill="1" applyBorder="1" applyAlignment="1">
      <alignment horizontal="left" vertical="center" wrapText="1"/>
    </xf>
    <xf numFmtId="0" fontId="8" fillId="9" borderId="178" xfId="0" applyFont="1" applyFill="1" applyBorder="1" applyAlignment="1">
      <alignment horizontal="left" vertical="center" wrapText="1"/>
    </xf>
    <xf numFmtId="0" fontId="12" fillId="2" borderId="175" xfId="0" applyFont="1" applyFill="1" applyBorder="1" applyAlignment="1">
      <alignment horizontal="center" vertical="center"/>
    </xf>
    <xf numFmtId="0" fontId="12" fillId="2" borderId="98" xfId="0" applyFont="1" applyFill="1" applyBorder="1" applyAlignment="1">
      <alignment horizontal="center" vertical="center"/>
    </xf>
    <xf numFmtId="0" fontId="2" fillId="0" borderId="7" xfId="0" applyFont="1" applyBorder="1" applyAlignment="1">
      <alignment vertical="center"/>
    </xf>
    <xf numFmtId="164" fontId="8" fillId="4" borderId="7" xfId="2" applyNumberFormat="1" applyFont="1" applyFill="1" applyBorder="1" applyAlignment="1" applyProtection="1">
      <alignment horizontal="center" vertical="center"/>
      <protection locked="0"/>
    </xf>
    <xf numFmtId="164" fontId="8" fillId="14" borderId="6" xfId="0" applyNumberFormat="1" applyFont="1" applyFill="1" applyBorder="1" applyAlignment="1" applyProtection="1">
      <alignment vertical="center"/>
      <protection hidden="1"/>
    </xf>
    <xf numFmtId="0" fontId="8" fillId="14" borderId="8" xfId="0" applyFont="1" applyFill="1" applyBorder="1" applyAlignment="1" applyProtection="1">
      <alignment vertical="center"/>
      <protection hidden="1"/>
    </xf>
    <xf numFmtId="0" fontId="8" fillId="4" borderId="7" xfId="0" applyFont="1" applyFill="1" applyBorder="1" applyAlignment="1" applyProtection="1">
      <alignment vertical="center"/>
      <protection locked="0"/>
    </xf>
    <xf numFmtId="164" fontId="8" fillId="0" borderId="7" xfId="0" applyNumberFormat="1" applyFont="1" applyBorder="1" applyAlignment="1" applyProtection="1">
      <alignment horizontal="right" vertical="center"/>
      <protection hidden="1"/>
    </xf>
    <xf numFmtId="0" fontId="8" fillId="0" borderId="8" xfId="0" applyFont="1" applyBorder="1" applyAlignment="1" applyProtection="1">
      <alignment horizontal="right" vertical="center"/>
      <protection hidden="1"/>
    </xf>
    <xf numFmtId="0" fontId="2" fillId="0" borderId="15" xfId="0" applyFont="1" applyBorder="1" applyAlignment="1">
      <alignment horizontal="center" vertical="center"/>
    </xf>
    <xf numFmtId="0" fontId="2" fillId="0" borderId="13" xfId="0" applyFont="1" applyBorder="1" applyAlignment="1" applyProtection="1">
      <alignment vertical="center"/>
      <protection hidden="1"/>
    </xf>
    <xf numFmtId="0" fontId="2" fillId="9" borderId="13" xfId="0" applyFont="1" applyFill="1" applyBorder="1" applyAlignment="1" applyProtection="1">
      <alignment vertical="center"/>
      <protection hidden="1"/>
    </xf>
    <xf numFmtId="0" fontId="2" fillId="0" borderId="34" xfId="0" applyFont="1" applyBorder="1" applyAlignment="1" applyProtection="1">
      <alignment vertical="center"/>
      <protection hidden="1"/>
    </xf>
    <xf numFmtId="0" fontId="2" fillId="0" borderId="35" xfId="0" applyFont="1" applyBorder="1" applyAlignment="1" applyProtection="1">
      <alignment vertical="center"/>
      <protection hidden="1"/>
    </xf>
    <xf numFmtId="0" fontId="2" fillId="0" borderId="36" xfId="0" applyFont="1" applyBorder="1" applyAlignment="1" applyProtection="1">
      <alignment vertical="center"/>
      <protection hidden="1"/>
    </xf>
    <xf numFmtId="0" fontId="2" fillId="9" borderId="34" xfId="0" applyFont="1" applyFill="1" applyBorder="1" applyAlignment="1" applyProtection="1">
      <alignment vertical="center"/>
      <protection hidden="1"/>
    </xf>
    <xf numFmtId="0" fontId="2" fillId="9" borderId="35" xfId="0" applyFont="1" applyFill="1" applyBorder="1" applyAlignment="1" applyProtection="1">
      <alignment vertical="center"/>
      <protection hidden="1"/>
    </xf>
    <xf numFmtId="0" fontId="2" fillId="9" borderId="36" xfId="0" applyFont="1" applyFill="1" applyBorder="1" applyAlignment="1" applyProtection="1">
      <alignment vertical="center"/>
      <protection hidden="1"/>
    </xf>
    <xf numFmtId="0" fontId="12" fillId="2" borderId="177" xfId="0" applyFont="1" applyFill="1" applyBorder="1" applyAlignment="1">
      <alignment horizontal="center" vertical="center"/>
    </xf>
    <xf numFmtId="0" fontId="12" fillId="2" borderId="176" xfId="0" applyFont="1" applyFill="1" applyBorder="1" applyAlignment="1">
      <alignment horizontal="center" vertical="center"/>
    </xf>
    <xf numFmtId="164" fontId="8" fillId="14" borderId="6" xfId="2" applyNumberFormat="1" applyFont="1" applyFill="1" applyBorder="1" applyAlignment="1" applyProtection="1">
      <alignment horizontal="right" vertical="center" wrapText="1"/>
      <protection hidden="1"/>
    </xf>
    <xf numFmtId="164" fontId="8" fillId="14" borderId="8" xfId="2" applyNumberFormat="1" applyFont="1" applyFill="1" applyBorder="1" applyAlignment="1" applyProtection="1">
      <alignment horizontal="right" vertical="center" wrapText="1"/>
      <protection hidden="1"/>
    </xf>
    <xf numFmtId="0" fontId="21" fillId="0" borderId="7" xfId="0" applyFont="1" applyBorder="1" applyAlignment="1">
      <alignment horizontal="left" vertical="center"/>
    </xf>
    <xf numFmtId="0" fontId="2" fillId="0" borderId="7" xfId="0" applyFont="1" applyBorder="1" applyAlignment="1" applyProtection="1">
      <alignment horizontal="left" vertical="center" shrinkToFit="1"/>
      <protection hidden="1"/>
    </xf>
    <xf numFmtId="0" fontId="12" fillId="2" borderId="174" xfId="0" applyFont="1" applyFill="1" applyBorder="1" applyAlignment="1">
      <alignment horizontal="center" vertical="center"/>
    </xf>
    <xf numFmtId="0" fontId="12" fillId="2" borderId="120" xfId="0" applyFont="1" applyFill="1" applyBorder="1" applyAlignment="1">
      <alignment horizontal="center" vertical="center"/>
    </xf>
    <xf numFmtId="0" fontId="12" fillId="2" borderId="173" xfId="0" applyFont="1" applyFill="1" applyBorder="1" applyAlignment="1">
      <alignment horizontal="center" vertical="center"/>
    </xf>
    <xf numFmtId="164" fontId="2" fillId="0" borderId="34" xfId="2" applyNumberFormat="1" applyFont="1" applyBorder="1" applyAlignment="1" applyProtection="1">
      <alignment vertical="center"/>
      <protection hidden="1"/>
    </xf>
    <xf numFmtId="164" fontId="2" fillId="0" borderId="36" xfId="2" applyNumberFormat="1" applyFont="1" applyBorder="1" applyAlignment="1" applyProtection="1">
      <alignment vertical="center"/>
      <protection hidden="1"/>
    </xf>
    <xf numFmtId="164" fontId="2" fillId="0" borderId="34" xfId="0" applyNumberFormat="1" applyFont="1" applyBorder="1" applyAlignment="1" applyProtection="1">
      <alignment vertical="center"/>
      <protection hidden="1"/>
    </xf>
    <xf numFmtId="164" fontId="2" fillId="9" borderId="34" xfId="2" applyNumberFormat="1" applyFont="1" applyFill="1" applyBorder="1" applyAlignment="1" applyProtection="1">
      <alignment vertical="center"/>
      <protection hidden="1"/>
    </xf>
    <xf numFmtId="164" fontId="2" fillId="9" borderId="36" xfId="2" applyNumberFormat="1" applyFont="1" applyFill="1" applyBorder="1" applyAlignment="1" applyProtection="1">
      <alignment vertical="center"/>
      <protection hidden="1"/>
    </xf>
    <xf numFmtId="0" fontId="12" fillId="8" borderId="38" xfId="0" applyFont="1" applyFill="1" applyBorder="1" applyAlignment="1" applyProtection="1">
      <alignment horizontal="center" vertical="center"/>
      <protection hidden="1"/>
    </xf>
    <xf numFmtId="165" fontId="12" fillId="8" borderId="38" xfId="0" applyNumberFormat="1" applyFont="1" applyFill="1" applyBorder="1" applyAlignment="1" applyProtection="1">
      <alignment horizontal="center" vertical="center"/>
      <protection hidden="1"/>
    </xf>
    <xf numFmtId="0" fontId="5" fillId="0" borderId="2" xfId="0" applyFont="1" applyBorder="1" applyAlignment="1" applyProtection="1">
      <alignment horizontal="center" vertical="center"/>
      <protection hidden="1"/>
    </xf>
    <xf numFmtId="0" fontId="5" fillId="0" borderId="0" xfId="0" applyFont="1" applyAlignment="1" applyProtection="1">
      <alignment horizontal="center" vertical="center"/>
      <protection hidden="1"/>
    </xf>
    <xf numFmtId="0" fontId="15" fillId="4" borderId="13" xfId="0" applyFont="1" applyFill="1" applyBorder="1" applyAlignment="1" applyProtection="1">
      <alignment vertical="center"/>
      <protection locked="0"/>
    </xf>
    <xf numFmtId="164" fontId="9" fillId="4" borderId="7" xfId="2" applyNumberFormat="1" applyFont="1" applyFill="1" applyBorder="1" applyAlignment="1" applyProtection="1">
      <alignment horizontal="center" vertical="center"/>
      <protection locked="0"/>
    </xf>
    <xf numFmtId="164" fontId="9" fillId="14" borderId="6" xfId="2" applyNumberFormat="1" applyFont="1" applyFill="1" applyBorder="1" applyAlignment="1" applyProtection="1">
      <alignment horizontal="center" vertical="center"/>
      <protection hidden="1"/>
    </xf>
    <xf numFmtId="164" fontId="9" fillId="14" borderId="7" xfId="2" applyNumberFormat="1" applyFont="1" applyFill="1" applyBorder="1" applyAlignment="1" applyProtection="1">
      <alignment horizontal="center" vertical="center"/>
      <protection hidden="1"/>
    </xf>
    <xf numFmtId="164" fontId="9" fillId="14" borderId="8" xfId="2" applyNumberFormat="1" applyFont="1" applyFill="1" applyBorder="1" applyAlignment="1" applyProtection="1">
      <alignment horizontal="center" vertical="center"/>
      <protection hidden="1"/>
    </xf>
    <xf numFmtId="0" fontId="2" fillId="0" borderId="15"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164" fontId="8" fillId="4" borderId="7" xfId="2" applyNumberFormat="1" applyFont="1" applyFill="1" applyBorder="1" applyAlignment="1" applyProtection="1">
      <alignment horizontal="right" vertical="center" wrapText="1"/>
      <protection locked="0"/>
    </xf>
    <xf numFmtId="164" fontId="8" fillId="4" borderId="7" xfId="2" applyNumberFormat="1" applyFont="1" applyFill="1" applyBorder="1" applyAlignment="1" applyProtection="1">
      <alignment horizontal="center" vertical="center" wrapText="1"/>
      <protection locked="0"/>
    </xf>
    <xf numFmtId="0" fontId="2" fillId="0" borderId="26"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164" fontId="15" fillId="4" borderId="13" xfId="2" applyNumberFormat="1" applyFont="1" applyFill="1" applyBorder="1" applyAlignment="1" applyProtection="1">
      <alignment vertical="center"/>
      <protection locked="0"/>
    </xf>
    <xf numFmtId="0" fontId="3" fillId="2" borderId="74" xfId="0" applyFont="1" applyFill="1" applyBorder="1" applyAlignment="1" applyProtection="1">
      <alignment horizontal="center" vertical="center"/>
      <protection hidden="1"/>
    </xf>
    <xf numFmtId="0" fontId="3" fillId="2" borderId="0" xfId="0" applyFont="1" applyFill="1" applyAlignment="1" applyProtection="1">
      <alignment horizontal="center" vertical="center"/>
      <protection hidden="1"/>
    </xf>
    <xf numFmtId="0" fontId="3" fillId="2" borderId="75" xfId="0" applyFont="1" applyFill="1" applyBorder="1" applyAlignment="1" applyProtection="1">
      <alignment horizontal="center" vertical="center"/>
      <protection hidden="1"/>
    </xf>
    <xf numFmtId="164" fontId="15" fillId="9" borderId="13" xfId="2" applyNumberFormat="1" applyFont="1" applyFill="1" applyBorder="1" applyAlignment="1" applyProtection="1">
      <alignment vertical="center"/>
      <protection hidden="1"/>
    </xf>
    <xf numFmtId="164" fontId="15" fillId="0" borderId="13" xfId="2" applyNumberFormat="1" applyFont="1" applyBorder="1" applyAlignment="1" applyProtection="1">
      <alignment vertical="center"/>
      <protection hidden="1"/>
    </xf>
    <xf numFmtId="164" fontId="15" fillId="9" borderId="34" xfId="2" applyNumberFormat="1" applyFont="1" applyFill="1" applyBorder="1" applyAlignment="1" applyProtection="1">
      <alignment vertical="center"/>
      <protection hidden="1"/>
    </xf>
    <xf numFmtId="164" fontId="15" fillId="9" borderId="36" xfId="2" applyNumberFormat="1" applyFont="1" applyFill="1" applyBorder="1" applyAlignment="1" applyProtection="1">
      <alignment vertical="center"/>
      <protection hidden="1"/>
    </xf>
    <xf numFmtId="164" fontId="15" fillId="0" borderId="34" xfId="2" applyNumberFormat="1" applyFont="1" applyBorder="1" applyAlignment="1" applyProtection="1">
      <alignment vertical="center"/>
      <protection hidden="1"/>
    </xf>
    <xf numFmtId="164" fontId="15" fillId="0" borderId="36" xfId="2" applyNumberFormat="1" applyFont="1" applyBorder="1" applyAlignment="1" applyProtection="1">
      <alignment vertical="center"/>
      <protection hidden="1"/>
    </xf>
    <xf numFmtId="0" fontId="3" fillId="2" borderId="102" xfId="0" applyFont="1" applyFill="1" applyBorder="1" applyAlignment="1" applyProtection="1">
      <alignment horizontal="center" vertical="center"/>
      <protection hidden="1"/>
    </xf>
    <xf numFmtId="164" fontId="3" fillId="8" borderId="188" xfId="0" applyNumberFormat="1" applyFont="1" applyFill="1" applyBorder="1" applyAlignment="1" applyProtection="1">
      <alignment horizontal="right" vertical="center"/>
      <protection hidden="1"/>
    </xf>
    <xf numFmtId="0" fontId="3" fillId="8" borderId="188" xfId="0" applyFont="1" applyFill="1" applyBorder="1" applyAlignment="1" applyProtection="1">
      <alignment horizontal="right" vertical="center"/>
      <protection hidden="1"/>
    </xf>
    <xf numFmtId="0" fontId="3" fillId="8" borderId="151" xfId="0" applyFont="1" applyFill="1" applyBorder="1" applyAlignment="1" applyProtection="1">
      <alignment horizontal="right" vertical="center"/>
      <protection hidden="1"/>
    </xf>
    <xf numFmtId="164" fontId="8" fillId="16" borderId="189" xfId="0" applyNumberFormat="1" applyFont="1" applyFill="1" applyBorder="1" applyAlignment="1" applyProtection="1">
      <alignment horizontal="right" vertical="center"/>
      <protection hidden="1"/>
    </xf>
    <xf numFmtId="164" fontId="8" fillId="16" borderId="33" xfId="0" applyNumberFormat="1" applyFont="1" applyFill="1" applyBorder="1" applyAlignment="1" applyProtection="1">
      <alignment horizontal="right" vertical="center"/>
      <protection hidden="1"/>
    </xf>
    <xf numFmtId="164" fontId="8" fillId="16" borderId="190" xfId="0" applyNumberFormat="1" applyFont="1" applyFill="1" applyBorder="1" applyAlignment="1" applyProtection="1">
      <alignment horizontal="right" vertical="center"/>
      <protection hidden="1"/>
    </xf>
    <xf numFmtId="164" fontId="8" fillId="16" borderId="0" xfId="0" applyNumberFormat="1" applyFont="1" applyFill="1" applyAlignment="1" applyProtection="1">
      <alignment horizontal="right" vertical="center"/>
      <protection hidden="1"/>
    </xf>
    <xf numFmtId="164" fontId="8" fillId="4" borderId="7" xfId="2" applyNumberFormat="1" applyFont="1" applyFill="1" applyBorder="1" applyAlignment="1" applyProtection="1">
      <alignment vertical="center"/>
      <protection locked="0"/>
    </xf>
    <xf numFmtId="164" fontId="8" fillId="4" borderId="8" xfId="2" applyNumberFormat="1" applyFont="1" applyFill="1" applyBorder="1" applyAlignment="1" applyProtection="1">
      <alignment vertical="center"/>
      <protection locked="0"/>
    </xf>
    <xf numFmtId="164" fontId="8" fillId="4" borderId="2" xfId="2" applyNumberFormat="1" applyFont="1" applyFill="1" applyBorder="1" applyAlignment="1" applyProtection="1">
      <alignment horizontal="center" vertical="center"/>
      <protection locked="0"/>
    </xf>
    <xf numFmtId="164" fontId="8" fillId="4" borderId="3" xfId="2" applyNumberFormat="1" applyFont="1" applyFill="1" applyBorder="1" applyAlignment="1" applyProtection="1">
      <alignment horizontal="center" vertical="center"/>
      <protection locked="0"/>
    </xf>
    <xf numFmtId="164" fontId="8" fillId="4" borderId="4" xfId="2" applyNumberFormat="1" applyFont="1" applyFill="1" applyBorder="1" applyAlignment="1" applyProtection="1">
      <alignment vertical="center"/>
      <protection locked="0"/>
    </xf>
    <xf numFmtId="164" fontId="8" fillId="4" borderId="5" xfId="2" applyNumberFormat="1" applyFont="1" applyFill="1" applyBorder="1" applyAlignment="1" applyProtection="1">
      <alignment vertical="center"/>
      <protection locked="0"/>
    </xf>
    <xf numFmtId="0" fontId="9" fillId="3" borderId="105" xfId="0" applyFont="1" applyFill="1" applyBorder="1" applyAlignment="1" applyProtection="1">
      <alignment horizontal="center" vertical="center"/>
      <protection hidden="1"/>
    </xf>
    <xf numFmtId="0" fontId="9" fillId="3" borderId="106" xfId="0" applyFont="1" applyFill="1" applyBorder="1" applyAlignment="1" applyProtection="1">
      <alignment horizontal="center" vertical="center"/>
      <protection hidden="1"/>
    </xf>
    <xf numFmtId="0" fontId="9" fillId="3" borderId="107" xfId="0" applyFont="1" applyFill="1" applyBorder="1" applyAlignment="1" applyProtection="1">
      <alignment horizontal="center" vertical="center"/>
      <protection hidden="1"/>
    </xf>
    <xf numFmtId="10" fontId="3" fillId="2" borderId="37" xfId="3" applyNumberFormat="1" applyFont="1" applyFill="1" applyBorder="1" applyAlignment="1" applyProtection="1">
      <alignment vertical="center"/>
      <protection hidden="1"/>
    </xf>
    <xf numFmtId="10" fontId="3" fillId="2" borderId="116" xfId="3" applyNumberFormat="1" applyFont="1" applyFill="1" applyBorder="1" applyAlignment="1" applyProtection="1">
      <alignment vertical="center"/>
      <protection hidden="1"/>
    </xf>
    <xf numFmtId="10" fontId="3" fillId="2" borderId="114" xfId="3" applyNumberFormat="1" applyFont="1" applyFill="1" applyBorder="1" applyAlignment="1" applyProtection="1">
      <alignment vertical="center"/>
      <protection hidden="1"/>
    </xf>
    <xf numFmtId="10" fontId="3" fillId="2" borderId="115" xfId="3" applyNumberFormat="1" applyFont="1" applyFill="1" applyBorder="1" applyAlignment="1" applyProtection="1">
      <alignment vertical="center"/>
      <protection hidden="1"/>
    </xf>
    <xf numFmtId="164" fontId="8" fillId="5" borderId="6" xfId="2" applyNumberFormat="1" applyFont="1" applyFill="1" applyBorder="1" applyAlignment="1" applyProtection="1">
      <alignment vertical="center"/>
      <protection hidden="1"/>
    </xf>
    <xf numFmtId="164" fontId="8" fillId="5" borderId="109" xfId="2" applyNumberFormat="1" applyFont="1" applyFill="1" applyBorder="1" applyAlignment="1" applyProtection="1">
      <alignment vertical="center"/>
      <protection hidden="1"/>
    </xf>
    <xf numFmtId="10" fontId="3" fillId="2" borderId="117" xfId="3" applyNumberFormat="1" applyFont="1" applyFill="1" applyBorder="1" applyAlignment="1" applyProtection="1">
      <alignment vertical="center"/>
      <protection hidden="1"/>
    </xf>
    <xf numFmtId="10" fontId="3" fillId="2" borderId="118" xfId="3" applyNumberFormat="1" applyFont="1" applyFill="1" applyBorder="1" applyAlignment="1" applyProtection="1">
      <alignment vertical="center"/>
      <protection hidden="1"/>
    </xf>
    <xf numFmtId="164" fontId="9" fillId="0" borderId="6" xfId="2" applyNumberFormat="1" applyFont="1" applyFill="1" applyBorder="1" applyAlignment="1" applyProtection="1">
      <alignment vertical="center"/>
      <protection hidden="1"/>
    </xf>
    <xf numFmtId="164" fontId="9" fillId="0" borderId="109" xfId="2" applyNumberFormat="1" applyFont="1" applyFill="1" applyBorder="1" applyAlignment="1" applyProtection="1">
      <alignment vertical="center"/>
      <protection hidden="1"/>
    </xf>
    <xf numFmtId="0" fontId="3" fillId="2" borderId="111" xfId="0" applyFont="1" applyFill="1" applyBorder="1" applyAlignment="1" applyProtection="1">
      <alignment horizontal="left" vertical="center" shrinkToFit="1"/>
      <protection hidden="1"/>
    </xf>
    <xf numFmtId="0" fontId="3" fillId="2" borderId="112" xfId="0" applyFont="1" applyFill="1" applyBorder="1" applyAlignment="1" applyProtection="1">
      <alignment horizontal="left" vertical="center" shrinkToFit="1"/>
      <protection hidden="1"/>
    </xf>
    <xf numFmtId="0" fontId="3" fillId="2" borderId="113" xfId="0" applyFont="1" applyFill="1" applyBorder="1" applyAlignment="1" applyProtection="1">
      <alignment horizontal="left" vertical="center" shrinkToFit="1"/>
      <protection hidden="1"/>
    </xf>
    <xf numFmtId="164" fontId="9" fillId="0" borderId="6" xfId="2" applyNumberFormat="1" applyFont="1" applyFill="1" applyBorder="1" applyAlignment="1" applyProtection="1">
      <alignment horizontal="center" vertical="center"/>
      <protection hidden="1"/>
    </xf>
    <xf numFmtId="164" fontId="9" fillId="0" borderId="109" xfId="2" applyNumberFormat="1" applyFont="1" applyFill="1" applyBorder="1" applyAlignment="1" applyProtection="1">
      <alignment horizontal="center" vertical="center"/>
      <protection hidden="1"/>
    </xf>
    <xf numFmtId="164" fontId="3" fillId="2" borderId="0" xfId="2" applyNumberFormat="1" applyFont="1" applyFill="1" applyBorder="1" applyAlignment="1" applyProtection="1">
      <alignment horizontal="center" vertical="center"/>
      <protection hidden="1"/>
    </xf>
    <xf numFmtId="164" fontId="3" fillId="2" borderId="110" xfId="2" applyNumberFormat="1" applyFont="1" applyFill="1" applyBorder="1" applyAlignment="1" applyProtection="1">
      <alignment horizontal="center" vertical="center"/>
      <protection hidden="1"/>
    </xf>
    <xf numFmtId="164" fontId="3" fillId="2" borderId="114" xfId="2" applyNumberFormat="1" applyFont="1" applyFill="1" applyBorder="1" applyAlignment="1" applyProtection="1">
      <alignment horizontal="center" vertical="center"/>
      <protection hidden="1"/>
    </xf>
    <xf numFmtId="164" fontId="3" fillId="2" borderId="115" xfId="2" applyNumberFormat="1" applyFont="1" applyFill="1" applyBorder="1" applyAlignment="1" applyProtection="1">
      <alignment horizontal="center" vertical="center"/>
      <protection hidden="1"/>
    </xf>
    <xf numFmtId="164" fontId="9" fillId="4" borderId="14" xfId="2" applyNumberFormat="1" applyFont="1" applyFill="1" applyBorder="1" applyAlignment="1" applyProtection="1">
      <alignment vertical="center"/>
      <protection locked="0"/>
    </xf>
    <xf numFmtId="10" fontId="9" fillId="4" borderId="14" xfId="3" applyNumberFormat="1" applyFont="1" applyFill="1" applyBorder="1" applyAlignment="1" applyProtection="1">
      <alignment vertical="center"/>
      <protection locked="0"/>
    </xf>
    <xf numFmtId="0" fontId="3" fillId="2" borderId="124" xfId="0" applyFont="1" applyFill="1" applyBorder="1" applyAlignment="1">
      <alignment horizontal="center" vertical="center"/>
    </xf>
    <xf numFmtId="0" fontId="3" fillId="2" borderId="0" xfId="0" applyFont="1" applyFill="1" applyAlignment="1">
      <alignment horizontal="center" vertical="center"/>
    </xf>
    <xf numFmtId="0" fontId="3" fillId="2" borderId="110" xfId="0" applyFont="1" applyFill="1" applyBorder="1" applyAlignment="1">
      <alignment horizontal="center" vertical="center"/>
    </xf>
    <xf numFmtId="0" fontId="23" fillId="8" borderId="125" xfId="0" applyFont="1" applyFill="1" applyBorder="1" applyAlignment="1" applyProtection="1">
      <alignment horizontal="center" vertical="center"/>
      <protection hidden="1"/>
    </xf>
    <xf numFmtId="0" fontId="23" fillId="8" borderId="126" xfId="0" applyFont="1" applyFill="1" applyBorder="1" applyAlignment="1" applyProtection="1">
      <alignment horizontal="center" vertical="center"/>
      <protection hidden="1"/>
    </xf>
    <xf numFmtId="0" fontId="23" fillId="8" borderId="127" xfId="0" applyFont="1" applyFill="1" applyBorder="1" applyAlignment="1" applyProtection="1">
      <alignment horizontal="center" vertical="center"/>
      <protection hidden="1"/>
    </xf>
    <xf numFmtId="0" fontId="23" fillId="8" borderId="158" xfId="0" applyFont="1" applyFill="1" applyBorder="1" applyAlignment="1" applyProtection="1">
      <alignment horizontal="center" vertical="center"/>
      <protection hidden="1"/>
    </xf>
    <xf numFmtId="0" fontId="23" fillId="8" borderId="159" xfId="0" applyFont="1" applyFill="1" applyBorder="1" applyAlignment="1" applyProtection="1">
      <alignment horizontal="center" vertical="center"/>
      <protection hidden="1"/>
    </xf>
    <xf numFmtId="0" fontId="23" fillId="8" borderId="160" xfId="0" applyFont="1" applyFill="1" applyBorder="1" applyAlignment="1" applyProtection="1">
      <alignment horizontal="center" vertical="center"/>
      <protection hidden="1"/>
    </xf>
    <xf numFmtId="0" fontId="8" fillId="0" borderId="4" xfId="0" applyFont="1" applyBorder="1" applyAlignment="1" applyProtection="1">
      <alignment horizontal="left" vertical="center"/>
      <protection hidden="1"/>
    </xf>
    <xf numFmtId="164" fontId="8" fillId="9" borderId="7" xfId="0" applyNumberFormat="1" applyFont="1" applyFill="1" applyBorder="1" applyAlignment="1" applyProtection="1">
      <alignment horizontal="right" vertical="center"/>
      <protection hidden="1"/>
    </xf>
    <xf numFmtId="0" fontId="8" fillId="9" borderId="8" xfId="0" applyFont="1" applyFill="1" applyBorder="1" applyAlignment="1" applyProtection="1">
      <alignment horizontal="right" vertical="center"/>
      <protection hidden="1"/>
    </xf>
    <xf numFmtId="164" fontId="8" fillId="9" borderId="7" xfId="0" applyNumberFormat="1" applyFont="1" applyFill="1" applyBorder="1" applyAlignment="1" applyProtection="1">
      <alignment vertical="center"/>
      <protection hidden="1"/>
    </xf>
    <xf numFmtId="164" fontId="8" fillId="9" borderId="8" xfId="0" applyNumberFormat="1" applyFont="1" applyFill="1" applyBorder="1" applyAlignment="1" applyProtection="1">
      <alignment vertical="center"/>
      <protection hidden="1"/>
    </xf>
    <xf numFmtId="0" fontId="0" fillId="0" borderId="2" xfId="0" applyBorder="1" applyAlignment="1" applyProtection="1">
      <alignment horizontal="center" vertical="center"/>
      <protection hidden="1"/>
    </xf>
    <xf numFmtId="0" fontId="12" fillId="8" borderId="0" xfId="0" applyFont="1" applyFill="1" applyAlignment="1" applyProtection="1">
      <alignment horizontal="center" vertical="center"/>
      <protection hidden="1"/>
    </xf>
    <xf numFmtId="10" fontId="9" fillId="4" borderId="8" xfId="2" applyNumberFormat="1" applyFont="1" applyFill="1" applyBorder="1" applyAlignment="1" applyProtection="1">
      <alignment horizontal="right" vertical="center"/>
      <protection locked="0"/>
    </xf>
    <xf numFmtId="43" fontId="3" fillId="2" borderId="100" xfId="2" applyFont="1" applyFill="1" applyBorder="1" applyAlignment="1" applyProtection="1">
      <alignment horizontal="right" vertical="center"/>
      <protection hidden="1"/>
    </xf>
    <xf numFmtId="43" fontId="3" fillId="2" borderId="8" xfId="2" applyFont="1" applyFill="1" applyBorder="1" applyAlignment="1" applyProtection="1">
      <alignment horizontal="right" vertical="center"/>
      <protection hidden="1"/>
    </xf>
    <xf numFmtId="0" fontId="9" fillId="3" borderId="129" xfId="0" applyFont="1" applyFill="1" applyBorder="1" applyAlignment="1" applyProtection="1">
      <alignment horizontal="center" vertical="center"/>
      <protection hidden="1"/>
    </xf>
    <xf numFmtId="0" fontId="9" fillId="3" borderId="0" xfId="0" applyFont="1" applyFill="1" applyAlignment="1" applyProtection="1">
      <alignment horizontal="center" vertical="center"/>
      <protection hidden="1"/>
    </xf>
    <xf numFmtId="0" fontId="9" fillId="3" borderId="130" xfId="0" applyFont="1" applyFill="1" applyBorder="1" applyAlignment="1" applyProtection="1">
      <alignment horizontal="center" vertical="center"/>
      <protection hidden="1"/>
    </xf>
    <xf numFmtId="164" fontId="9" fillId="4" borderId="132" xfId="2" applyNumberFormat="1" applyFont="1" applyFill="1" applyBorder="1" applyAlignment="1" applyProtection="1">
      <alignment horizontal="center" vertical="center"/>
      <protection locked="0"/>
    </xf>
    <xf numFmtId="164" fontId="9" fillId="4" borderId="133" xfId="2" applyNumberFormat="1" applyFont="1" applyFill="1" applyBorder="1" applyAlignment="1" applyProtection="1">
      <alignment horizontal="center" vertical="center"/>
      <protection locked="0"/>
    </xf>
    <xf numFmtId="164" fontId="9" fillId="4" borderId="8" xfId="2" applyNumberFormat="1" applyFont="1" applyFill="1" applyBorder="1" applyAlignment="1" applyProtection="1">
      <alignment horizontal="center" vertical="center"/>
      <protection locked="0"/>
    </xf>
    <xf numFmtId="10" fontId="3" fillId="2" borderId="100" xfId="3" applyNumberFormat="1" applyFont="1" applyFill="1" applyBorder="1" applyAlignment="1" applyProtection="1">
      <alignment horizontal="right" vertical="center"/>
      <protection hidden="1"/>
    </xf>
    <xf numFmtId="10" fontId="3" fillId="2" borderId="8" xfId="3" applyNumberFormat="1" applyFont="1" applyFill="1" applyBorder="1" applyAlignment="1" applyProtection="1">
      <alignment horizontal="right" vertical="center"/>
      <protection hidden="1"/>
    </xf>
    <xf numFmtId="164" fontId="3" fillId="2" borderId="100" xfId="2" applyNumberFormat="1" applyFont="1" applyFill="1" applyBorder="1" applyAlignment="1" applyProtection="1">
      <alignment horizontal="right" vertical="center"/>
      <protection hidden="1"/>
    </xf>
    <xf numFmtId="164" fontId="3" fillId="2" borderId="8" xfId="2" applyNumberFormat="1" applyFont="1" applyFill="1" applyBorder="1" applyAlignment="1" applyProtection="1">
      <alignment horizontal="right" vertical="center"/>
      <protection hidden="1"/>
    </xf>
    <xf numFmtId="0" fontId="26" fillId="8" borderId="0" xfId="0" applyFont="1" applyFill="1" applyAlignment="1" applyProtection="1">
      <alignment horizontal="left" vertical="center"/>
      <protection hidden="1"/>
    </xf>
    <xf numFmtId="0" fontId="26" fillId="8" borderId="1" xfId="0" applyFont="1" applyFill="1" applyBorder="1" applyAlignment="1" applyProtection="1">
      <alignment horizontal="left" vertical="center"/>
      <protection hidden="1"/>
    </xf>
    <xf numFmtId="0" fontId="27" fillId="0" borderId="15" xfId="0" applyFont="1" applyBorder="1" applyAlignment="1" applyProtection="1">
      <alignment horizontal="left" vertical="center" wrapText="1" indent="1"/>
      <protection hidden="1"/>
    </xf>
    <xf numFmtId="0" fontId="27" fillId="0" borderId="2" xfId="0" applyFont="1" applyBorder="1" applyAlignment="1" applyProtection="1">
      <alignment horizontal="left" vertical="center" wrapText="1" indent="1"/>
      <protection hidden="1"/>
    </xf>
    <xf numFmtId="0" fontId="27" fillId="0" borderId="3" xfId="0" applyFont="1" applyBorder="1" applyAlignment="1" applyProtection="1">
      <alignment horizontal="left" vertical="center" wrapText="1" indent="1"/>
      <protection hidden="1"/>
    </xf>
    <xf numFmtId="0" fontId="27" fillId="0" borderId="17" xfId="0" applyFont="1" applyBorder="1" applyAlignment="1" applyProtection="1">
      <alignment horizontal="left" vertical="center" wrapText="1" indent="1"/>
      <protection hidden="1"/>
    </xf>
    <xf numFmtId="0" fontId="27" fillId="0" borderId="0" xfId="0" applyFont="1" applyAlignment="1" applyProtection="1">
      <alignment horizontal="left" vertical="center" wrapText="1" indent="1"/>
      <protection hidden="1"/>
    </xf>
    <xf numFmtId="0" fontId="27" fillId="0" borderId="18" xfId="0" applyFont="1" applyBorder="1" applyAlignment="1" applyProtection="1">
      <alignment horizontal="left" vertical="center" wrapText="1" indent="1"/>
      <protection hidden="1"/>
    </xf>
    <xf numFmtId="0" fontId="27" fillId="0" borderId="26" xfId="0" applyFont="1" applyBorder="1" applyAlignment="1" applyProtection="1">
      <alignment horizontal="left" vertical="center" wrapText="1" indent="1"/>
      <protection hidden="1"/>
    </xf>
    <xf numFmtId="0" fontId="27" fillId="0" borderId="4" xfId="0" applyFont="1" applyBorder="1" applyAlignment="1" applyProtection="1">
      <alignment horizontal="left" vertical="center" wrapText="1" indent="1"/>
      <protection hidden="1"/>
    </xf>
    <xf numFmtId="0" fontId="27" fillId="0" borderId="5" xfId="0" applyFont="1" applyBorder="1" applyAlignment="1" applyProtection="1">
      <alignment horizontal="left" vertical="center" wrapText="1" indent="1"/>
      <protection hidden="1"/>
    </xf>
  </cellXfs>
  <cellStyles count="7">
    <cellStyle name="Comma" xfId="2" builtinId="3"/>
    <cellStyle name="Hyperlink" xfId="1" builtinId="8"/>
    <cellStyle name="Normal" xfId="0" builtinId="0"/>
    <cellStyle name="Normal 4" xfId="4" xr:uid="{059EA491-F05C-4492-B6FA-9FA2E6A92042}"/>
    <cellStyle name="Normal 5 2" xfId="6" xr:uid="{967DC533-5CD4-4744-BBC3-5F003E20E93C}"/>
    <cellStyle name="Normal 6" xfId="5" xr:uid="{9706D650-8907-40C8-BAFB-0D321CD315F8}"/>
    <cellStyle name="Percent" xfId="3" builtinId="5"/>
  </cellStyles>
  <dxfs count="25">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79998168889431442"/>
        </patternFill>
      </fill>
    </dxf>
    <dxf>
      <font>
        <b val="0"/>
        <i val="0"/>
        <color auto="1"/>
      </font>
      <border>
        <left style="thin">
          <color auto="1"/>
        </left>
        <right style="thin">
          <color auto="1"/>
        </right>
        <top style="thin">
          <color auto="1"/>
        </top>
        <bottom style="thin">
          <color auto="1"/>
        </bottom>
        <vertical/>
        <horizontal/>
      </border>
    </dxf>
    <dxf>
      <fill>
        <patternFill>
          <bgColor theme="3" tint="0.89996032593768116"/>
        </patternFill>
      </fill>
    </dxf>
    <dxf>
      <fill>
        <patternFill>
          <bgColor theme="5" tint="0.79998168889431442"/>
        </patternFill>
      </fill>
    </dxf>
    <dxf>
      <fill>
        <patternFill>
          <bgColor theme="0"/>
        </patternFill>
      </fill>
      <border>
        <left/>
        <right/>
        <bottom/>
        <vertical/>
        <horizontal/>
      </border>
    </dxf>
    <dxf>
      <fill>
        <patternFill>
          <bgColor theme="5" tint="0.59996337778862885"/>
        </patternFill>
      </fill>
      <border>
        <left style="thin">
          <color rgb="FF163C81"/>
        </left>
        <right style="thin">
          <color rgb="FF163C81"/>
        </right>
        <top style="thin">
          <color rgb="FF163C81"/>
        </top>
        <bottom style="thin">
          <color rgb="FF163C81"/>
        </bottom>
      </border>
    </dxf>
    <dxf>
      <font>
        <color theme="0"/>
      </font>
      <fill>
        <patternFill>
          <bgColor theme="0"/>
        </patternFill>
      </fill>
      <border>
        <left style="thin">
          <color theme="0"/>
        </left>
        <right style="thin">
          <color theme="0"/>
        </right>
        <top/>
        <bottom style="thin">
          <color theme="0"/>
        </bottom>
        <vertical/>
        <horizontal/>
      </border>
    </dxf>
    <dxf>
      <font>
        <color theme="0"/>
      </font>
      <fill>
        <patternFill>
          <bgColor theme="0"/>
        </patternFill>
      </fill>
    </dxf>
    <dxf>
      <font>
        <color theme="0"/>
      </font>
      <fill>
        <patternFill>
          <bgColor theme="0"/>
        </patternFill>
      </fill>
    </dxf>
    <dxf>
      <fill>
        <patternFill>
          <bgColor theme="0"/>
        </patternFill>
      </fill>
    </dxf>
    <dxf>
      <fill>
        <patternFill>
          <bgColor theme="0" tint="-0.14996795556505021"/>
        </patternFill>
      </fill>
    </dxf>
    <dxf>
      <fill>
        <patternFill>
          <bgColor theme="0"/>
        </patternFill>
      </fill>
      <border>
        <left style="thin">
          <color theme="0"/>
        </left>
        <right style="thin">
          <color theme="0"/>
        </right>
        <bottom style="thin">
          <color theme="0"/>
        </bottom>
        <vertical/>
        <horizontal/>
      </border>
    </dxf>
    <dxf>
      <font>
        <color auto="1"/>
      </font>
      <fill>
        <patternFill>
          <bgColor theme="0"/>
        </patternFill>
      </fill>
      <border>
        <left style="thin">
          <color rgb="FF163C81"/>
        </left>
        <right style="thin">
          <color rgb="FF163C81"/>
        </right>
        <top style="thin">
          <color rgb="FF163C81"/>
        </top>
        <bottom style="thin">
          <color rgb="FF163C81"/>
        </bottom>
        <vertical/>
        <horizontal/>
      </border>
    </dxf>
    <dxf>
      <font>
        <color auto="1"/>
      </font>
      <fill>
        <patternFill>
          <bgColor theme="5" tint="0.79998168889431442"/>
        </patternFill>
      </fill>
      <border>
        <left style="thin">
          <color rgb="FF163C81"/>
        </left>
        <right style="thin">
          <color rgb="FF163C81"/>
        </right>
        <top style="thin">
          <color rgb="FF163C81"/>
        </top>
        <bottom style="thin">
          <color rgb="FF163C81"/>
        </bottom>
        <vertical/>
        <horizontal/>
      </border>
    </dxf>
    <dxf>
      <font>
        <color auto="1"/>
      </font>
      <fill>
        <patternFill>
          <bgColor theme="5" tint="0.79998168889431442"/>
        </patternFill>
      </fill>
      <border>
        <left style="thin">
          <color rgb="FF163C81"/>
        </left>
        <right style="thin">
          <color rgb="FF163C81"/>
        </right>
        <top style="thin">
          <color rgb="FF163C81"/>
        </top>
        <bottom style="thin">
          <color rgb="FF163C81"/>
        </bottom>
        <vertical/>
        <horizontal/>
      </border>
    </dxf>
    <dxf>
      <font>
        <color auto="1"/>
      </font>
      <fill>
        <patternFill>
          <bgColor theme="0"/>
        </patternFill>
      </fill>
      <border>
        <left style="thin">
          <color rgb="FF163C81"/>
        </left>
        <right style="thin">
          <color rgb="FF163C81"/>
        </right>
        <top style="thin">
          <color rgb="FF163C81"/>
        </top>
        <bottom style="thin">
          <color rgb="FF163C81"/>
        </bottom>
        <vertical/>
        <horizontal/>
      </border>
    </dxf>
    <dxf>
      <font>
        <b/>
        <i val="0"/>
        <color theme="0"/>
      </font>
      <fill>
        <patternFill patternType="solid">
          <bgColor rgb="FFFF0000"/>
        </patternFill>
      </fill>
      <protection locked="1" hidden="1"/>
    </dxf>
    <dxf>
      <alignment horizontal="center"/>
      <protection locked="1" hidden="1"/>
    </dxf>
    <dxf>
      <font>
        <b val="0"/>
        <i val="0"/>
        <strike val="0"/>
        <u val="none"/>
        <sz val="11"/>
        <color theme="1"/>
        <name val="Calibri"/>
        <family val="2"/>
        <scheme val="none"/>
      </font>
      <protection locked="1" hidden="1"/>
    </dxf>
    <dxf>
      <protection locked="1" hidden="1"/>
    </dxf>
    <dxf>
      <protection locked="1" hidden="1"/>
    </dxf>
  </dxfs>
  <tableStyles count="0" defaultTableStyle="TableStyleMedium2" defaultPivotStyle="PivotStyleLight16"/>
  <colors>
    <mruColors>
      <color rgb="FFF4801F"/>
      <color rgb="FFF7A25B"/>
      <color rgb="FFFEC94D"/>
      <color rgb="FF163C81"/>
      <color rgb="FFEF976B"/>
      <color rgb="FFED3338"/>
      <color rgb="FFF79F57"/>
      <color rgb="FFFCD3B2"/>
      <color rgb="FFE0E0E0"/>
      <color rgb="FFDCDC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1"/>
          <c:spPr>
            <a:solidFill>
              <a:srgbClr val="F4801F"/>
            </a:solidFill>
            <a:ln>
              <a:noFill/>
            </a:ln>
            <a:effectLst/>
          </c:spPr>
          <c:invertIfNegative val="0"/>
          <c:cat>
            <c:numRef>
              <c:f>'2'!$B$17:$B$41</c:f>
              <c:numCache>
                <c:formatCode>General</c:formatCode>
                <c:ptCount val="25"/>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numCache>
            </c:numRef>
          </c:cat>
          <c:val>
            <c:numRef>
              <c:f>'2'!$I$17:$I$41</c:f>
              <c:numCache>
                <c:formatCode>_ * #,##0_ ;_ * \-#,##0_ ;_ * "-"??_ ;_ @_ </c:formatCode>
                <c:ptCount val="25"/>
                <c:pt idx="0">
                  <c:v>46671560.616038412</c:v>
                </c:pt>
                <c:pt idx="1">
                  <c:v>49412413.359654933</c:v>
                </c:pt>
                <c:pt idx="2">
                  <c:v>52310584.360686943</c:v>
                </c:pt>
                <c:pt idx="3">
                  <c:v>55374656.765715204</c:v>
                </c:pt>
                <c:pt idx="4">
                  <c:v>58613625.996251605</c:v>
                </c:pt>
                <c:pt idx="5">
                  <c:v>62036912.159571409</c:v>
                </c:pt>
                <c:pt idx="6">
                  <c:v>65654371.725115769</c:v>
                </c:pt>
                <c:pt idx="7">
                  <c:v>69476308.244909197</c:v>
                </c:pt>
                <c:pt idx="8">
                  <c:v>73513481.861844614</c:v>
                </c:pt>
                <c:pt idx="9">
                  <c:v>77777117.310465053</c:v>
                </c:pt>
                <c:pt idx="10">
                  <c:v>82278910.070431888</c:v>
                </c:pt>
                <c:pt idx="11">
                  <c:v>87031030.282557413</c:v>
                </c:pt>
                <c:pt idx="12">
                  <c:v>92046123.980358422</c:v>
                </c:pt>
                <c:pt idx="13">
                  <c:v>97337311.125729203</c:v>
                </c:pt>
                <c:pt idx="14">
                  <c:v>102918179.86460814</c:v>
                </c:pt>
                <c:pt idx="15">
                  <c:v>108802776.33638002</c:v>
                </c:pt>
                <c:pt idx="16">
                  <c:v>115005589.27804567</c:v>
                </c:pt>
                <c:pt idx="17">
                  <c:v>121541528.55958919</c:v>
                </c:pt>
                <c:pt idx="18">
                  <c:v>128425896.66900863</c:v>
                </c:pt>
                <c:pt idx="19">
                  <c:v>135674352.03249452</c:v>
                </c:pt>
                <c:pt idx="20">
                  <c:v>143302862.90539101</c:v>
                </c:pt>
                <c:pt idx="21">
                  <c:v>151327650.4007749</c:v>
                </c:pt>
                <c:pt idx="22">
                  <c:v>159765119.03240907</c:v>
                </c:pt>
                <c:pt idx="23">
                  <c:v>168631772.9348518</c:v>
                </c:pt>
                <c:pt idx="24">
                  <c:v>177944115.6827009</c:v>
                </c:pt>
              </c:numCache>
            </c:numRef>
          </c:val>
          <c:extLst xmlns:c15="http://schemas.microsoft.com/office/drawing/2012/chart">
            <c:ext xmlns:c16="http://schemas.microsoft.com/office/drawing/2014/chart" uri="{C3380CC4-5D6E-409C-BE32-E72D297353CC}">
              <c16:uniqueId val="{00000001-EC66-440A-896F-AC139B1578C0}"/>
            </c:ext>
          </c:extLst>
        </c:ser>
        <c:dLbls>
          <c:showLegendKey val="0"/>
          <c:showVal val="0"/>
          <c:showCatName val="0"/>
          <c:showSerName val="0"/>
          <c:showPercent val="0"/>
          <c:showBubbleSize val="0"/>
        </c:dLbls>
        <c:gapWidth val="50"/>
        <c:axId val="1186736911"/>
        <c:axId val="1186752271"/>
        <c:extLst>
          <c:ext xmlns:c15="http://schemas.microsoft.com/office/drawing/2012/chart" uri="{02D57815-91ED-43cb-92C2-25804820EDAC}">
            <c15:filteredBarSeries>
              <c15:ser>
                <c:idx val="0"/>
                <c:order val="0"/>
                <c:spPr>
                  <a:solidFill>
                    <a:schemeClr val="accent1"/>
                  </a:solidFill>
                  <a:ln>
                    <a:noFill/>
                  </a:ln>
                  <a:effectLst/>
                </c:spPr>
                <c:invertIfNegative val="0"/>
                <c:cat>
                  <c:numRef>
                    <c:extLst>
                      <c:ext uri="{02D57815-91ED-43cb-92C2-25804820EDAC}">
                        <c15:formulaRef>
                          <c15:sqref>'2'!$B$17:$B$41</c15:sqref>
                        </c15:formulaRef>
                      </c:ext>
                    </c:extLst>
                    <c:numCache>
                      <c:formatCode>General</c:formatCode>
                      <c:ptCount val="25"/>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numCache>
                  </c:numRef>
                </c:cat>
                <c:val>
                  <c:numRef>
                    <c:extLst>
                      <c:ext uri="{02D57815-91ED-43cb-92C2-25804820EDAC}">
                        <c15:formulaRef>
                          <c15:sqref>'2'!$B$17:$B$41</c15:sqref>
                        </c15:formulaRef>
                      </c:ext>
                    </c:extLst>
                    <c:numCache>
                      <c:formatCode>General</c:formatCode>
                      <c:ptCount val="25"/>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numCache>
                  </c:numRef>
                </c:val>
                <c:extLst>
                  <c:ext xmlns:c16="http://schemas.microsoft.com/office/drawing/2014/chart" uri="{C3380CC4-5D6E-409C-BE32-E72D297353CC}">
                    <c16:uniqueId val="{00000000-EC66-440A-896F-AC139B1578C0}"/>
                  </c:ext>
                </c:extLst>
              </c15:ser>
            </c15:filteredBarSeries>
            <c15:filteredBarSeries>
              <c15:ser>
                <c:idx val="2"/>
                <c:order val="2"/>
                <c:spPr>
                  <a:solidFill>
                    <a:schemeClr val="accent3"/>
                  </a:solidFill>
                  <a:ln>
                    <a:noFill/>
                  </a:ln>
                  <a:effectLst/>
                </c:spPr>
                <c:invertIfNegative val="0"/>
                <c:cat>
                  <c:numRef>
                    <c:extLst xmlns:c15="http://schemas.microsoft.com/office/drawing/2012/chart">
                      <c:ext xmlns:c15="http://schemas.microsoft.com/office/drawing/2012/chart" uri="{02D57815-91ED-43cb-92C2-25804820EDAC}">
                        <c15:formulaRef>
                          <c15:sqref>'2'!$B$17:$B$41</c15:sqref>
                        </c15:formulaRef>
                      </c:ext>
                    </c:extLst>
                    <c:numCache>
                      <c:formatCode>General</c:formatCode>
                      <c:ptCount val="25"/>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numCache>
                  </c:numRef>
                </c:cat>
                <c:val>
                  <c:numRef>
                    <c:extLst xmlns:c15="http://schemas.microsoft.com/office/drawing/2012/chart">
                      <c:ext xmlns:c15="http://schemas.microsoft.com/office/drawing/2012/chart" uri="{02D57815-91ED-43cb-92C2-25804820EDAC}">
                        <c15:formulaRef>
                          <c15:sqref>'2'!$J$17:$J$41</c15:sqref>
                        </c15:formulaRef>
                      </c:ext>
                    </c:extLst>
                    <c:numCache>
                      <c:formatCode>_ * #,##0_ ;_ * \-#,##0_ ;_ * "-"??_ ;_ @_ </c:formatCode>
                      <c:ptCount val="25"/>
                    </c:numCache>
                  </c:numRef>
                </c:val>
                <c:extLst xmlns:c15="http://schemas.microsoft.com/office/drawing/2012/chart">
                  <c:ext xmlns:c16="http://schemas.microsoft.com/office/drawing/2014/chart" uri="{C3380CC4-5D6E-409C-BE32-E72D297353CC}">
                    <c16:uniqueId val="{00000002-EC66-440A-896F-AC139B1578C0}"/>
                  </c:ext>
                </c:extLst>
              </c15:ser>
            </c15:filteredBarSeries>
          </c:ext>
        </c:extLst>
      </c:barChart>
      <c:catAx>
        <c:axId val="11867369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752271"/>
        <c:crosses val="autoZero"/>
        <c:auto val="1"/>
        <c:lblAlgn val="ctr"/>
        <c:lblOffset val="100"/>
        <c:noMultiLvlLbl val="0"/>
      </c:catAx>
      <c:valAx>
        <c:axId val="1186752271"/>
        <c:scaling>
          <c:orientation val="minMax"/>
        </c:scaling>
        <c:delete val="1"/>
        <c:axPos val="t"/>
        <c:numFmt formatCode="_ * #,##0_ ;_ * \-#,##0_ ;_ * &quot;-&quot;??_ ;_ @_ " sourceLinked="1"/>
        <c:majorTickMark val="none"/>
        <c:minorTickMark val="none"/>
        <c:tickLblPos val="nextTo"/>
        <c:crossAx val="118673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63C8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94364</xdr:rowOff>
    </xdr:from>
    <xdr:to>
      <xdr:col>1</xdr:col>
      <xdr:colOff>476250</xdr:colOff>
      <xdr:row>2</xdr:row>
      <xdr:rowOff>81538</xdr:rowOff>
    </xdr:to>
    <xdr:pic>
      <xdr:nvPicPr>
        <xdr:cNvPr id="2" name="Picture 1" descr="A red and yellow text on a black background&#10;&#10;Description automatically generated">
          <a:extLst>
            <a:ext uri="{FF2B5EF4-FFF2-40B4-BE49-F238E27FC236}">
              <a16:creationId xmlns:a16="http://schemas.microsoft.com/office/drawing/2014/main" id="{428BACF4-3344-4C70-9A00-56AF177619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94364"/>
          <a:ext cx="1009650" cy="368174"/>
        </a:xfrm>
        <a:prstGeom prst="rect">
          <a:avLst/>
        </a:prstGeom>
      </xdr:spPr>
    </xdr:pic>
    <xdr:clientData/>
  </xdr:twoCellAnchor>
  <xdr:twoCellAnchor editAs="oneCell">
    <xdr:from>
      <xdr:col>14</xdr:col>
      <xdr:colOff>66675</xdr:colOff>
      <xdr:row>0</xdr:row>
      <xdr:rowOff>94364</xdr:rowOff>
    </xdr:from>
    <xdr:to>
      <xdr:col>16</xdr:col>
      <xdr:colOff>535654</xdr:colOff>
      <xdr:row>2</xdr:row>
      <xdr:rowOff>80564</xdr:rowOff>
    </xdr:to>
    <xdr:pic>
      <xdr:nvPicPr>
        <xdr:cNvPr id="3" name="Picture 2" descr="A blue and orange logo&#10;&#10;Description automatically generated">
          <a:extLst>
            <a:ext uri="{FF2B5EF4-FFF2-40B4-BE49-F238E27FC236}">
              <a16:creationId xmlns:a16="http://schemas.microsoft.com/office/drawing/2014/main" id="{EB5BEF5D-C225-4251-8084-02A89CD27F7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53350" y="94364"/>
          <a:ext cx="1688179" cy="36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41275</xdr:colOff>
      <xdr:row>10</xdr:row>
      <xdr:rowOff>31750</xdr:rowOff>
    </xdr:from>
    <xdr:to>
      <xdr:col>14</xdr:col>
      <xdr:colOff>555625</xdr:colOff>
      <xdr:row>28</xdr:row>
      <xdr:rowOff>0</xdr:rowOff>
    </xdr:to>
    <xdr:graphicFrame macro="">
      <xdr:nvGraphicFramePr>
        <xdr:cNvPr id="2" name="Chart 1">
          <a:extLst>
            <a:ext uri="{FF2B5EF4-FFF2-40B4-BE49-F238E27FC236}">
              <a16:creationId xmlns:a16="http://schemas.microsoft.com/office/drawing/2014/main" id="{35820D4D-9315-4E94-AA55-05C96CC0A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44450</xdr:colOff>
      <xdr:row>28</xdr:row>
      <xdr:rowOff>31750</xdr:rowOff>
    </xdr:from>
    <xdr:to>
      <xdr:col>14</xdr:col>
      <xdr:colOff>552450</xdr:colOff>
      <xdr:row>31</xdr:row>
      <xdr:rowOff>247650</xdr:rowOff>
    </xdr:to>
    <xdr:sp macro="" textlink="">
      <xdr:nvSpPr>
        <xdr:cNvPr id="4" name="TextBox 3">
          <a:extLst>
            <a:ext uri="{FF2B5EF4-FFF2-40B4-BE49-F238E27FC236}">
              <a16:creationId xmlns:a16="http://schemas.microsoft.com/office/drawing/2014/main" id="{945C4257-DA11-384C-6B8F-E83DF55F7227}"/>
            </a:ext>
          </a:extLst>
        </xdr:cNvPr>
        <xdr:cNvSpPr txBox="1"/>
      </xdr:nvSpPr>
      <xdr:spPr>
        <a:xfrm>
          <a:off x="6457950" y="6877050"/>
          <a:ext cx="3073400" cy="977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Calibri" panose="020F0502020204030204" pitchFamily="34" charset="0"/>
              <a:ea typeface="Calibri" panose="020F0502020204030204" pitchFamily="34" charset="0"/>
              <a:cs typeface="Calibri" panose="020F0502020204030204" pitchFamily="34" charset="0"/>
            </a:rPr>
            <a:t>On the left</a:t>
          </a:r>
          <a:r>
            <a:rPr lang="en-IN" sz="1200" baseline="0">
              <a:latin typeface="Calibri" panose="020F0502020204030204" pitchFamily="34" charset="0"/>
              <a:ea typeface="Calibri" panose="020F0502020204030204" pitchFamily="34" charset="0"/>
              <a:cs typeface="Calibri" panose="020F0502020204030204" pitchFamily="34" charset="0"/>
            </a:rPr>
            <a:t> hand side table, the last column's cells are highlighted in GREY colour when </a:t>
          </a:r>
          <a:r>
            <a:rPr lang="en-IN" sz="1200" b="1" baseline="0">
              <a:latin typeface="Calibri" panose="020F0502020204030204" pitchFamily="34" charset="0"/>
              <a:ea typeface="Calibri" panose="020F0502020204030204" pitchFamily="34" charset="0"/>
              <a:cs typeface="Calibri" panose="020F0502020204030204" pitchFamily="34" charset="0"/>
            </a:rPr>
            <a:t>'End of The Year Corpus' </a:t>
          </a:r>
          <a:r>
            <a:rPr lang="en-IN" sz="1200" baseline="0">
              <a:latin typeface="Calibri" panose="020F0502020204030204" pitchFamily="34" charset="0"/>
              <a:ea typeface="Calibri" panose="020F0502020204030204" pitchFamily="34" charset="0"/>
              <a:cs typeface="Calibri" panose="020F0502020204030204" pitchFamily="34" charset="0"/>
            </a:rPr>
            <a:t>goes below the starting corpus amount.</a:t>
          </a:r>
          <a:endParaRPr lang="en-IN"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502228</xdr:colOff>
      <xdr:row>9</xdr:row>
      <xdr:rowOff>225138</xdr:rowOff>
    </xdr:from>
    <xdr:to>
      <xdr:col>7</xdr:col>
      <xdr:colOff>285750</xdr:colOff>
      <xdr:row>17</xdr:row>
      <xdr:rowOff>216479</xdr:rowOff>
    </xdr:to>
    <xdr:pic>
      <xdr:nvPicPr>
        <xdr:cNvPr id="3" name="Picture 2" descr="A family portrait of a person and person&#10;&#10;Description automatically generated">
          <a:extLst>
            <a:ext uri="{FF2B5EF4-FFF2-40B4-BE49-F238E27FC236}">
              <a16:creationId xmlns:a16="http://schemas.microsoft.com/office/drawing/2014/main" id="{9566BDF5-A108-7343-A0F1-ADED581B032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5466" b="11941"/>
        <a:stretch/>
      </xdr:blipFill>
      <xdr:spPr>
        <a:xfrm>
          <a:off x="2320637" y="1861706"/>
          <a:ext cx="2104158" cy="2000250"/>
        </a:xfrm>
        <a:prstGeom prst="rect">
          <a:avLst/>
        </a:prstGeom>
      </xdr:spPr>
    </xdr:pic>
    <xdr:clientData/>
  </xdr:twoCellAnchor>
  <xdr:twoCellAnchor>
    <xdr:from>
      <xdr:col>1</xdr:col>
      <xdr:colOff>562841</xdr:colOff>
      <xdr:row>45</xdr:row>
      <xdr:rowOff>242455</xdr:rowOff>
    </xdr:from>
    <xdr:to>
      <xdr:col>8</xdr:col>
      <xdr:colOff>233795</xdr:colOff>
      <xdr:row>61</xdr:row>
      <xdr:rowOff>138546</xdr:rowOff>
    </xdr:to>
    <xdr:sp macro="" textlink="">
      <xdr:nvSpPr>
        <xdr:cNvPr id="2" name="Oval 1">
          <a:extLst>
            <a:ext uri="{FF2B5EF4-FFF2-40B4-BE49-F238E27FC236}">
              <a16:creationId xmlns:a16="http://schemas.microsoft.com/office/drawing/2014/main" id="{EF6FDB5D-53A7-6734-2440-9076871B207D}"/>
            </a:ext>
          </a:extLst>
        </xdr:cNvPr>
        <xdr:cNvSpPr/>
      </xdr:nvSpPr>
      <xdr:spPr>
        <a:xfrm>
          <a:off x="1168977" y="10711296"/>
          <a:ext cx="3810000" cy="3913909"/>
        </a:xfrm>
        <a:prstGeom prst="ellipse">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38099</xdr:colOff>
      <xdr:row>103</xdr:row>
      <xdr:rowOff>152400</xdr:rowOff>
    </xdr:from>
    <xdr:to>
      <xdr:col>4</xdr:col>
      <xdr:colOff>460156</xdr:colOff>
      <xdr:row>115</xdr:row>
      <xdr:rowOff>190500</xdr:rowOff>
    </xdr:to>
    <xdr:pic>
      <xdr:nvPicPr>
        <xdr:cNvPr id="5" name="Picture 4" descr="A person in a white coat with stethoscope around her neck&#10;&#10;Description automatically generated">
          <a:extLst>
            <a:ext uri="{FF2B5EF4-FFF2-40B4-BE49-F238E27FC236}">
              <a16:creationId xmlns:a16="http://schemas.microsoft.com/office/drawing/2014/main" id="{1F477F5D-6278-6839-485A-602E50544BB5}"/>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9831" r="5388"/>
        <a:stretch/>
      </xdr:blipFill>
      <xdr:spPr>
        <a:xfrm>
          <a:off x="647699" y="24307800"/>
          <a:ext cx="2250857" cy="3009900"/>
        </a:xfrm>
        <a:prstGeom prst="rect">
          <a:avLst/>
        </a:prstGeom>
      </xdr:spPr>
    </xdr:pic>
    <xdr:clientData/>
  </xdr:twoCellAnchor>
  <xdr:twoCellAnchor editAs="oneCell">
    <xdr:from>
      <xdr:col>1</xdr:col>
      <xdr:colOff>47624</xdr:colOff>
      <xdr:row>132</xdr:row>
      <xdr:rowOff>180975</xdr:rowOff>
    </xdr:from>
    <xdr:to>
      <xdr:col>4</xdr:col>
      <xdr:colOff>568587</xdr:colOff>
      <xdr:row>144</xdr:row>
      <xdr:rowOff>176264</xdr:rowOff>
    </xdr:to>
    <xdr:pic>
      <xdr:nvPicPr>
        <xdr:cNvPr id="7" name="Picture 6" descr="A person wearing a hard hat and holding a paper&#10;&#10;Description automatically generated">
          <a:extLst>
            <a:ext uri="{FF2B5EF4-FFF2-40B4-BE49-F238E27FC236}">
              <a16:creationId xmlns:a16="http://schemas.microsoft.com/office/drawing/2014/main" id="{A4ADE046-C482-6245-8B4F-BBA7B9FD4BB2}"/>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0854"/>
        <a:stretch/>
      </xdr:blipFill>
      <xdr:spPr>
        <a:xfrm>
          <a:off x="657224" y="31518225"/>
          <a:ext cx="2349763" cy="2967089"/>
        </a:xfrm>
        <a:prstGeom prst="rect">
          <a:avLst/>
        </a:prstGeom>
      </xdr:spPr>
    </xdr:pic>
    <xdr:clientData/>
  </xdr:twoCellAnchor>
  <xdr:twoCellAnchor editAs="oneCell">
    <xdr:from>
      <xdr:col>1</xdr:col>
      <xdr:colOff>66675</xdr:colOff>
      <xdr:row>160</xdr:row>
      <xdr:rowOff>190500</xdr:rowOff>
    </xdr:from>
    <xdr:to>
      <xdr:col>4</xdr:col>
      <xdr:colOff>370864</xdr:colOff>
      <xdr:row>175</xdr:row>
      <xdr:rowOff>133349</xdr:rowOff>
    </xdr:to>
    <xdr:pic>
      <xdr:nvPicPr>
        <xdr:cNvPr id="11" name="Picture 10" descr="A cartoon of a person and person&#10;&#10;Description automatically generated">
          <a:extLst>
            <a:ext uri="{FF2B5EF4-FFF2-40B4-BE49-F238E27FC236}">
              <a16:creationId xmlns:a16="http://schemas.microsoft.com/office/drawing/2014/main" id="{28053104-B47E-B6DF-FB8B-76A238DA126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7435" r="24248"/>
        <a:stretch/>
      </xdr:blipFill>
      <xdr:spPr>
        <a:xfrm>
          <a:off x="676275" y="38461950"/>
          <a:ext cx="2132989" cy="36575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3c62bd49e51fbc90/Documents/1_At%20Prudent/1-Excel%20on%20Request/Investment%20Calculators%20-%20March%202024.xlsx" TargetMode="External"/><Relationship Id="rId1" Type="http://schemas.openxmlformats.org/officeDocument/2006/relationships/externalLinkPath" Target="/Users/amisa/OneDrive/Documents/1_At%20Prudent/1-Excel%20on%20Request/Investment%20Calculators%20-%20March%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Menu-1"/>
      <sheetName val="Main Menu-2"/>
      <sheetName val="1"/>
      <sheetName val="2"/>
      <sheetName val="3"/>
      <sheetName val="4"/>
      <sheetName val="5"/>
      <sheetName val="6"/>
      <sheetName val="7"/>
      <sheetName val="8"/>
      <sheetName val="9"/>
      <sheetName val="10"/>
      <sheetName val="11"/>
      <sheetName val="12"/>
      <sheetName val="DISCLAIMER"/>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F825F8-5626-4187-9C70-60B702EC90C9}" name="CII" displayName="CII" ref="P17:R41" totalsRowShown="0" headerRowDxfId="24" dataDxfId="23">
  <autoFilter ref="P17:R41" xr:uid="{32F825F8-5626-4187-9C70-60B702EC90C9}"/>
  <tableColumns count="3">
    <tableColumn id="1" xr3:uid="{0AD17324-5082-4D13-84E7-FF07988F6AE9}" name="YEAR" dataDxfId="22"/>
    <tableColumn id="2" xr3:uid="{D09C64AE-C0F3-493D-9408-7414ECBDC290}" name="CII" dataDxfId="21"/>
    <tableColumn id="3" xr3:uid="{26E76BD1-4989-489A-8383-EB05BFA151C5}" name="YEARS" dataDxfId="20">
      <calculatedColumnFormula>IF(ISNUMBER(R17),R17+1,0+1)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3B141-33E0-4F45-B3BF-0364A8296767}">
  <dimension ref="A1:R34"/>
  <sheetViews>
    <sheetView showGridLines="0" tabSelected="1" topLeftCell="A22" zoomScaleNormal="100" workbookViewId="0">
      <selection activeCell="C29" sqref="C29:H29"/>
    </sheetView>
  </sheetViews>
  <sheetFormatPr defaultColWidth="0" defaultRowHeight="14.5" zeroHeight="1" x14ac:dyDescent="0.35"/>
  <cols>
    <col min="1" max="3" width="9.1796875" customWidth="1"/>
    <col min="4" max="4" width="1.81640625" customWidth="1"/>
    <col min="5" max="8" width="10.26953125" customWidth="1"/>
    <col min="9" max="9" width="1.81640625" customWidth="1"/>
    <col min="10" max="13" width="10.26953125" customWidth="1"/>
    <col min="14" max="14" width="1.81640625" customWidth="1"/>
    <col min="15" max="17" width="9.1796875" customWidth="1"/>
    <col min="18" max="18" width="0.81640625" customWidth="1"/>
    <col min="19" max="16384" width="9.1796875" hidden="1"/>
  </cols>
  <sheetData>
    <row r="1" spans="1:17" x14ac:dyDescent="0.35"/>
    <row r="2" spans="1:17" x14ac:dyDescent="0.35"/>
    <row r="3" spans="1:17" x14ac:dyDescent="0.35"/>
    <row r="4" spans="1:17" ht="15" customHeight="1" x14ac:dyDescent="0.35">
      <c r="A4" s="265" t="s">
        <v>254</v>
      </c>
      <c r="B4" s="265"/>
      <c r="C4" s="265"/>
      <c r="D4" s="265"/>
      <c r="E4" s="265"/>
      <c r="F4" s="265"/>
      <c r="G4" s="265"/>
      <c r="H4" s="265"/>
      <c r="I4" s="265"/>
      <c r="J4" s="265"/>
      <c r="K4" s="265"/>
      <c r="L4" s="265"/>
      <c r="M4" s="265"/>
      <c r="N4" s="265"/>
      <c r="O4" s="265"/>
      <c r="P4" s="265"/>
      <c r="Q4" s="265"/>
    </row>
    <row r="5" spans="1:17" ht="15" customHeight="1" x14ac:dyDescent="0.35">
      <c r="A5" s="265"/>
      <c r="B5" s="265"/>
      <c r="C5" s="265"/>
      <c r="D5" s="265"/>
      <c r="E5" s="265"/>
      <c r="F5" s="265"/>
      <c r="G5" s="265"/>
      <c r="H5" s="265"/>
      <c r="I5" s="265"/>
      <c r="J5" s="265"/>
      <c r="K5" s="265"/>
      <c r="L5" s="265"/>
      <c r="M5" s="265"/>
      <c r="N5" s="265"/>
      <c r="O5" s="265"/>
      <c r="P5" s="265"/>
      <c r="Q5" s="265"/>
    </row>
    <row r="6" spans="1:17" ht="15" customHeight="1" x14ac:dyDescent="0.35">
      <c r="A6" s="265"/>
      <c r="B6" s="265"/>
      <c r="C6" s="265"/>
      <c r="D6" s="265"/>
      <c r="E6" s="265"/>
      <c r="F6" s="265"/>
      <c r="G6" s="265"/>
      <c r="H6" s="265"/>
      <c r="I6" s="265"/>
      <c r="J6" s="265"/>
      <c r="K6" s="265"/>
      <c r="L6" s="265"/>
      <c r="M6" s="265"/>
      <c r="N6" s="265"/>
      <c r="O6" s="265"/>
      <c r="P6" s="265"/>
      <c r="Q6" s="265"/>
    </row>
    <row r="7" spans="1:17" ht="12" customHeight="1" x14ac:dyDescent="0.35">
      <c r="A7" s="6"/>
      <c r="B7" s="6"/>
      <c r="C7" s="6"/>
      <c r="D7" s="6"/>
      <c r="E7" s="6"/>
      <c r="F7" s="6"/>
      <c r="G7" s="6"/>
      <c r="H7" s="6"/>
      <c r="I7" s="6"/>
      <c r="J7" s="6"/>
      <c r="K7" s="6"/>
      <c r="L7" s="6"/>
      <c r="M7" s="6"/>
      <c r="N7" s="6"/>
      <c r="O7" s="6"/>
      <c r="P7" s="6"/>
      <c r="Q7" s="6"/>
    </row>
    <row r="8" spans="1:17" ht="15.75" customHeight="1" x14ac:dyDescent="0.35">
      <c r="A8" s="273" t="s">
        <v>271</v>
      </c>
      <c r="B8" s="273"/>
      <c r="C8" s="273"/>
      <c r="D8" s="6"/>
      <c r="E8" s="268" t="s">
        <v>279</v>
      </c>
      <c r="F8" s="268"/>
      <c r="G8" s="268"/>
      <c r="H8" s="268"/>
      <c r="I8" s="204"/>
      <c r="J8" s="269" t="s">
        <v>263</v>
      </c>
      <c r="K8" s="269"/>
      <c r="L8" s="269"/>
      <c r="M8" s="269"/>
      <c r="N8" s="6"/>
      <c r="O8" s="272" t="s">
        <v>250</v>
      </c>
      <c r="P8" s="272"/>
      <c r="Q8" s="272"/>
    </row>
    <row r="9" spans="1:17" ht="15.75" customHeight="1" x14ac:dyDescent="0.35">
      <c r="A9" s="273"/>
      <c r="B9" s="273"/>
      <c r="C9" s="273"/>
      <c r="D9" s="6"/>
      <c r="E9" s="268"/>
      <c r="F9" s="268"/>
      <c r="G9" s="268"/>
      <c r="H9" s="268"/>
      <c r="I9" s="204"/>
      <c r="J9" s="269"/>
      <c r="K9" s="269"/>
      <c r="L9" s="269"/>
      <c r="M9" s="269"/>
      <c r="N9" s="6"/>
      <c r="O9" s="272"/>
      <c r="P9" s="272"/>
      <c r="Q9" s="272"/>
    </row>
    <row r="10" spans="1:17" ht="15.75" customHeight="1" x14ac:dyDescent="0.35">
      <c r="A10" s="273"/>
      <c r="B10" s="273"/>
      <c r="C10" s="273"/>
      <c r="D10" s="6"/>
      <c r="E10" s="268"/>
      <c r="F10" s="268"/>
      <c r="G10" s="268"/>
      <c r="H10" s="268"/>
      <c r="I10" s="204"/>
      <c r="J10" s="269"/>
      <c r="K10" s="269"/>
      <c r="L10" s="269"/>
      <c r="M10" s="269"/>
      <c r="N10" s="6"/>
      <c r="O10" s="272"/>
      <c r="P10" s="272"/>
      <c r="Q10" s="272"/>
    </row>
    <row r="11" spans="1:17" ht="12" customHeight="1" x14ac:dyDescent="0.35">
      <c r="A11" s="6"/>
      <c r="B11" s="6"/>
      <c r="C11" s="6"/>
      <c r="D11" s="6"/>
      <c r="E11" s="6"/>
      <c r="F11" s="6"/>
      <c r="G11" s="6"/>
      <c r="H11" s="6"/>
      <c r="I11" s="6"/>
      <c r="J11" s="6"/>
      <c r="K11" s="6"/>
      <c r="L11" s="6"/>
      <c r="M11" s="6"/>
      <c r="N11" s="6"/>
      <c r="O11" s="6"/>
      <c r="P11" s="6"/>
      <c r="Q11" s="6"/>
    </row>
    <row r="12" spans="1:17" ht="15.75" customHeight="1" x14ac:dyDescent="0.35">
      <c r="A12" s="272" t="s">
        <v>248</v>
      </c>
      <c r="B12" s="272"/>
      <c r="C12" s="272"/>
      <c r="D12" s="6"/>
      <c r="E12" s="269" t="s">
        <v>258</v>
      </c>
      <c r="F12" s="269"/>
      <c r="G12" s="269"/>
      <c r="H12" s="269"/>
      <c r="I12" s="204"/>
      <c r="J12" s="274" t="s">
        <v>264</v>
      </c>
      <c r="K12" s="274"/>
      <c r="L12" s="274"/>
      <c r="M12" s="274"/>
      <c r="N12" s="204"/>
      <c r="O12" s="273" t="s">
        <v>257</v>
      </c>
      <c r="P12" s="273"/>
      <c r="Q12" s="273"/>
    </row>
    <row r="13" spans="1:17" ht="15.75" customHeight="1" x14ac:dyDescent="0.35">
      <c r="A13" s="272"/>
      <c r="B13" s="272"/>
      <c r="C13" s="272"/>
      <c r="D13" s="6"/>
      <c r="E13" s="269"/>
      <c r="F13" s="269"/>
      <c r="G13" s="269"/>
      <c r="H13" s="269"/>
      <c r="I13" s="204"/>
      <c r="J13" s="274"/>
      <c r="K13" s="274"/>
      <c r="L13" s="274"/>
      <c r="M13" s="274"/>
      <c r="N13" s="204"/>
      <c r="O13" s="273"/>
      <c r="P13" s="273"/>
      <c r="Q13" s="273"/>
    </row>
    <row r="14" spans="1:17" ht="15.75" customHeight="1" x14ac:dyDescent="0.35">
      <c r="A14" s="272"/>
      <c r="B14" s="272"/>
      <c r="C14" s="272"/>
      <c r="D14" s="6"/>
      <c r="E14" s="269"/>
      <c r="F14" s="269"/>
      <c r="G14" s="269"/>
      <c r="H14" s="269"/>
      <c r="I14" s="6"/>
      <c r="J14" s="274"/>
      <c r="K14" s="274"/>
      <c r="L14" s="274"/>
      <c r="M14" s="274"/>
      <c r="N14" s="6"/>
      <c r="O14" s="273"/>
      <c r="P14" s="273"/>
      <c r="Q14" s="273"/>
    </row>
    <row r="15" spans="1:17" ht="12" customHeight="1" x14ac:dyDescent="0.35">
      <c r="A15" s="6"/>
      <c r="B15" s="6"/>
      <c r="C15" s="6"/>
      <c r="D15" s="6"/>
      <c r="E15" s="6"/>
      <c r="F15" s="6"/>
      <c r="G15" s="6"/>
      <c r="H15" s="6"/>
      <c r="I15" s="204"/>
      <c r="J15" s="6"/>
      <c r="K15" s="6"/>
      <c r="L15" s="6"/>
      <c r="M15" s="6"/>
      <c r="N15" s="6"/>
      <c r="O15" s="6"/>
      <c r="P15" s="6"/>
      <c r="Q15" s="6"/>
    </row>
    <row r="16" spans="1:17" ht="15.75" customHeight="1" x14ac:dyDescent="0.35">
      <c r="A16" s="273" t="s">
        <v>251</v>
      </c>
      <c r="B16" s="273"/>
      <c r="C16" s="273"/>
      <c r="D16" s="6"/>
      <c r="E16" s="274" t="s">
        <v>259</v>
      </c>
      <c r="F16" s="274"/>
      <c r="G16" s="274"/>
      <c r="H16" s="274"/>
      <c r="I16" s="204"/>
      <c r="J16" s="269" t="s">
        <v>261</v>
      </c>
      <c r="K16" s="269"/>
      <c r="L16" s="269"/>
      <c r="M16" s="269"/>
      <c r="N16" s="204"/>
      <c r="O16" s="272" t="s">
        <v>253</v>
      </c>
      <c r="P16" s="272"/>
      <c r="Q16" s="272"/>
    </row>
    <row r="17" spans="1:17" ht="15.75" customHeight="1" x14ac:dyDescent="0.35">
      <c r="A17" s="273"/>
      <c r="B17" s="273"/>
      <c r="C17" s="273"/>
      <c r="D17" s="6"/>
      <c r="E17" s="274"/>
      <c r="F17" s="274"/>
      <c r="G17" s="274"/>
      <c r="H17" s="274"/>
      <c r="I17" s="204"/>
      <c r="J17" s="269"/>
      <c r="K17" s="269"/>
      <c r="L17" s="269"/>
      <c r="M17" s="269"/>
      <c r="N17" s="204"/>
      <c r="O17" s="272"/>
      <c r="P17" s="272"/>
      <c r="Q17" s="272"/>
    </row>
    <row r="18" spans="1:17" ht="15.75" customHeight="1" x14ac:dyDescent="0.35">
      <c r="A18" s="273"/>
      <c r="B18" s="273"/>
      <c r="C18" s="273"/>
      <c r="D18" s="6"/>
      <c r="E18" s="274"/>
      <c r="F18" s="274"/>
      <c r="G18" s="274"/>
      <c r="H18" s="274"/>
      <c r="I18" s="6"/>
      <c r="J18" s="269"/>
      <c r="K18" s="269"/>
      <c r="L18" s="269"/>
      <c r="M18" s="269"/>
      <c r="N18" s="204"/>
      <c r="O18" s="272"/>
      <c r="P18" s="272"/>
      <c r="Q18" s="272"/>
    </row>
    <row r="19" spans="1:17" ht="12" customHeight="1" x14ac:dyDescent="0.35">
      <c r="A19" s="6"/>
      <c r="B19" s="6"/>
      <c r="C19" s="6"/>
      <c r="D19" s="6"/>
      <c r="E19" s="6"/>
      <c r="F19" s="6"/>
      <c r="G19" s="6"/>
      <c r="H19" s="6"/>
      <c r="I19" s="204"/>
      <c r="J19" s="6"/>
      <c r="K19" s="6"/>
      <c r="L19" s="6"/>
      <c r="M19" s="6"/>
      <c r="N19" s="6"/>
      <c r="O19" s="6"/>
      <c r="P19" s="6"/>
      <c r="Q19" s="6"/>
    </row>
    <row r="20" spans="1:17" ht="15.75" customHeight="1" x14ac:dyDescent="0.35">
      <c r="A20" s="272" t="s">
        <v>252</v>
      </c>
      <c r="B20" s="272"/>
      <c r="C20" s="272"/>
      <c r="D20" s="6"/>
      <c r="E20" s="269" t="s">
        <v>260</v>
      </c>
      <c r="F20" s="269"/>
      <c r="G20" s="269"/>
      <c r="H20" s="269"/>
      <c r="I20" s="204"/>
      <c r="J20" s="268" t="s">
        <v>265</v>
      </c>
      <c r="K20" s="268"/>
      <c r="L20" s="268"/>
      <c r="M20" s="268"/>
      <c r="N20" s="204"/>
      <c r="O20" s="273" t="s">
        <v>461</v>
      </c>
      <c r="P20" s="273"/>
      <c r="Q20" s="273"/>
    </row>
    <row r="21" spans="1:17" ht="15.75" customHeight="1" x14ac:dyDescent="0.35">
      <c r="A21" s="272"/>
      <c r="B21" s="272"/>
      <c r="C21" s="272"/>
      <c r="D21" s="6"/>
      <c r="E21" s="269"/>
      <c r="F21" s="269"/>
      <c r="G21" s="269"/>
      <c r="H21" s="269"/>
      <c r="I21" s="204"/>
      <c r="J21" s="268"/>
      <c r="K21" s="268"/>
      <c r="L21" s="268"/>
      <c r="M21" s="268"/>
      <c r="N21" s="204"/>
      <c r="O21" s="273"/>
      <c r="P21" s="273"/>
      <c r="Q21" s="273"/>
    </row>
    <row r="22" spans="1:17" ht="15.75" customHeight="1" x14ac:dyDescent="0.35">
      <c r="A22" s="272"/>
      <c r="B22" s="272"/>
      <c r="C22" s="272"/>
      <c r="D22" s="6"/>
      <c r="E22" s="269"/>
      <c r="F22" s="269"/>
      <c r="G22" s="269"/>
      <c r="H22" s="269"/>
      <c r="I22" s="6"/>
      <c r="J22" s="268"/>
      <c r="K22" s="268"/>
      <c r="L22" s="268"/>
      <c r="M22" s="268"/>
      <c r="N22" s="204"/>
      <c r="O22" s="273"/>
      <c r="P22" s="273"/>
      <c r="Q22" s="273"/>
    </row>
    <row r="23" spans="1:17" ht="12" customHeight="1" x14ac:dyDescent="0.35">
      <c r="A23" s="6"/>
      <c r="B23" s="6"/>
      <c r="C23" s="6"/>
      <c r="D23" s="6"/>
      <c r="E23" s="6"/>
      <c r="F23" s="6"/>
      <c r="G23" s="6"/>
      <c r="H23" s="6"/>
      <c r="I23" s="204"/>
      <c r="J23" s="6"/>
      <c r="K23" s="6"/>
      <c r="L23" s="6"/>
      <c r="M23" s="6"/>
      <c r="N23" s="6"/>
      <c r="O23" s="6"/>
      <c r="P23" s="6"/>
      <c r="Q23" s="6"/>
    </row>
    <row r="24" spans="1:17" ht="15.75" customHeight="1" x14ac:dyDescent="0.35">
      <c r="A24" s="270" t="s">
        <v>249</v>
      </c>
      <c r="B24" s="270"/>
      <c r="C24" s="270"/>
      <c r="D24" s="6"/>
      <c r="E24" s="268" t="s">
        <v>262</v>
      </c>
      <c r="F24" s="268"/>
      <c r="G24" s="268"/>
      <c r="H24" s="268"/>
      <c r="I24" s="204"/>
      <c r="J24" s="269" t="s">
        <v>278</v>
      </c>
      <c r="K24" s="269"/>
      <c r="L24" s="269"/>
      <c r="M24" s="269"/>
      <c r="N24" s="204"/>
      <c r="O24" s="272" t="s">
        <v>277</v>
      </c>
      <c r="P24" s="272"/>
      <c r="Q24" s="272"/>
    </row>
    <row r="25" spans="1:17" ht="15.75" customHeight="1" x14ac:dyDescent="0.35">
      <c r="A25" s="270"/>
      <c r="B25" s="270"/>
      <c r="C25" s="270"/>
      <c r="D25" s="6"/>
      <c r="E25" s="268"/>
      <c r="F25" s="268"/>
      <c r="G25" s="268"/>
      <c r="H25" s="268"/>
      <c r="I25" s="204"/>
      <c r="J25" s="269"/>
      <c r="K25" s="269"/>
      <c r="L25" s="269"/>
      <c r="M25" s="269"/>
      <c r="N25" s="204"/>
      <c r="O25" s="272"/>
      <c r="P25" s="272"/>
      <c r="Q25" s="272"/>
    </row>
    <row r="26" spans="1:17" ht="15.75" customHeight="1" x14ac:dyDescent="0.35">
      <c r="A26" s="270"/>
      <c r="B26" s="270"/>
      <c r="C26" s="270"/>
      <c r="D26" s="6"/>
      <c r="E26" s="268"/>
      <c r="F26" s="268"/>
      <c r="G26" s="268"/>
      <c r="H26" s="268"/>
      <c r="I26" s="6"/>
      <c r="J26" s="269"/>
      <c r="K26" s="269"/>
      <c r="L26" s="269"/>
      <c r="M26" s="269"/>
      <c r="N26" s="204"/>
      <c r="O26" s="272"/>
      <c r="P26" s="272"/>
      <c r="Q26" s="272"/>
    </row>
    <row r="27" spans="1:17" ht="12" customHeight="1" x14ac:dyDescent="0.35">
      <c r="A27" s="6"/>
      <c r="B27" s="6"/>
      <c r="C27" s="6"/>
      <c r="D27" s="6"/>
      <c r="E27" s="6"/>
      <c r="F27" s="6"/>
      <c r="G27" s="6"/>
      <c r="H27" s="6"/>
      <c r="I27" s="204"/>
      <c r="J27" s="6"/>
      <c r="K27" s="6"/>
      <c r="L27" s="6"/>
      <c r="M27" s="6"/>
      <c r="N27" s="6"/>
      <c r="O27" s="6"/>
      <c r="P27" s="6"/>
      <c r="Q27" s="6"/>
    </row>
    <row r="28" spans="1:17" ht="12" customHeight="1" x14ac:dyDescent="0.35">
      <c r="A28" s="172"/>
      <c r="B28" s="172"/>
      <c r="C28" s="172"/>
      <c r="D28" s="172"/>
      <c r="E28" s="172"/>
      <c r="F28" s="172"/>
      <c r="G28" s="172"/>
      <c r="H28" s="172"/>
      <c r="I28" s="94"/>
      <c r="J28" s="172"/>
      <c r="K28" s="172"/>
      <c r="L28" s="172"/>
      <c r="M28" s="172"/>
      <c r="N28" s="172"/>
      <c r="O28" s="172"/>
      <c r="P28" s="172"/>
      <c r="Q28" s="172"/>
    </row>
    <row r="29" spans="1:17" ht="20.149999999999999" customHeight="1" x14ac:dyDescent="0.35">
      <c r="A29" s="267" t="s">
        <v>255</v>
      </c>
      <c r="B29" s="267"/>
      <c r="C29" s="266" t="s">
        <v>463</v>
      </c>
      <c r="D29" s="266"/>
      <c r="E29" s="266"/>
      <c r="F29" s="266"/>
      <c r="G29" s="266"/>
      <c r="H29" s="266"/>
      <c r="I29" s="94"/>
      <c r="J29" s="267" t="s">
        <v>256</v>
      </c>
      <c r="K29" s="267"/>
      <c r="L29" s="266" t="s">
        <v>369</v>
      </c>
      <c r="M29" s="266"/>
      <c r="N29" s="266"/>
      <c r="O29" s="266"/>
      <c r="P29" s="266"/>
      <c r="Q29" s="266"/>
    </row>
    <row r="30" spans="1:17" ht="15" customHeight="1" x14ac:dyDescent="0.35">
      <c r="A30" s="271" t="s">
        <v>276</v>
      </c>
      <c r="B30" s="271"/>
      <c r="C30" s="271"/>
      <c r="D30" s="271"/>
      <c r="E30" s="271"/>
      <c r="F30" s="271"/>
      <c r="G30" s="271"/>
      <c r="H30" s="271"/>
      <c r="I30" s="271"/>
      <c r="J30" s="271"/>
      <c r="K30" s="271"/>
      <c r="L30" s="271"/>
      <c r="M30" s="271"/>
      <c r="N30" s="271"/>
      <c r="O30" s="271"/>
      <c r="P30" s="271"/>
      <c r="Q30" s="271"/>
    </row>
    <row r="31" spans="1:17" ht="15" customHeight="1" x14ac:dyDescent="0.35">
      <c r="A31" s="271"/>
      <c r="B31" s="271"/>
      <c r="C31" s="271"/>
      <c r="D31" s="271"/>
      <c r="E31" s="271"/>
      <c r="F31" s="271"/>
      <c r="G31" s="271"/>
      <c r="H31" s="271"/>
      <c r="I31" s="271"/>
      <c r="J31" s="271"/>
      <c r="K31" s="271"/>
      <c r="L31" s="271"/>
      <c r="M31" s="271"/>
      <c r="N31" s="271"/>
      <c r="O31" s="271"/>
      <c r="P31" s="271"/>
      <c r="Q31" s="271"/>
    </row>
    <row r="32" spans="1:17" s="79" customFormat="1" ht="30" customHeight="1" x14ac:dyDescent="0.35">
      <c r="A32" s="271"/>
      <c r="B32" s="271"/>
      <c r="C32" s="271"/>
      <c r="D32" s="271"/>
      <c r="E32" s="271"/>
      <c r="F32" s="271"/>
      <c r="G32" s="271"/>
      <c r="H32" s="271"/>
      <c r="I32" s="271"/>
      <c r="J32" s="271"/>
      <c r="K32" s="271"/>
      <c r="L32" s="271"/>
      <c r="M32" s="271"/>
      <c r="N32" s="271"/>
      <c r="O32" s="271"/>
      <c r="P32" s="271"/>
      <c r="Q32" s="271"/>
    </row>
    <row r="33" spans="1:17" s="79" customFormat="1" ht="20.149999999999999" hidden="1" customHeight="1" x14ac:dyDescent="0.35">
      <c r="A33"/>
      <c r="B33"/>
      <c r="C33"/>
      <c r="D33"/>
      <c r="E33"/>
      <c r="F33"/>
      <c r="G33"/>
      <c r="H33"/>
      <c r="I33" s="172"/>
      <c r="J33"/>
      <c r="K33"/>
      <c r="L33"/>
      <c r="M33"/>
      <c r="N33"/>
      <c r="O33"/>
      <c r="P33"/>
      <c r="Q33"/>
    </row>
    <row r="34" spans="1:17" s="79" customFormat="1" ht="20.149999999999999" hidden="1" customHeight="1" x14ac:dyDescent="0.35">
      <c r="A34"/>
      <c r="B34"/>
      <c r="C34"/>
      <c r="D34"/>
      <c r="E34"/>
      <c r="F34"/>
      <c r="G34"/>
      <c r="H34"/>
      <c r="I34" s="172"/>
      <c r="J34"/>
      <c r="K34"/>
      <c r="L34"/>
      <c r="M34"/>
      <c r="N34"/>
      <c r="O34"/>
      <c r="P34"/>
      <c r="Q34"/>
    </row>
  </sheetData>
  <sheetProtection algorithmName="SHA-512" hashValue="8tq0L9i2jv5GosSEXyIKAcpzS9hyGmLaegu8GCy4X6GzDdHibBeu2vEqG9bMqjdDvRjgDFJ6MCUMw7YhcguQ5w==" saltValue="0qFPsdrknI29RZK9YQtwEQ==" spinCount="100000" sheet="1" objects="1" scenarios="1"/>
  <mergeCells count="26">
    <mergeCell ref="A30:Q32"/>
    <mergeCell ref="O8:Q10"/>
    <mergeCell ref="O20:Q22"/>
    <mergeCell ref="A20:C22"/>
    <mergeCell ref="O24:Q26"/>
    <mergeCell ref="A12:C14"/>
    <mergeCell ref="A16:C18"/>
    <mergeCell ref="A8:C10"/>
    <mergeCell ref="E20:H22"/>
    <mergeCell ref="E16:H18"/>
    <mergeCell ref="J12:M14"/>
    <mergeCell ref="O12:Q14"/>
    <mergeCell ref="J16:M18"/>
    <mergeCell ref="O16:Q18"/>
    <mergeCell ref="A4:Q6"/>
    <mergeCell ref="C29:H29"/>
    <mergeCell ref="L29:Q29"/>
    <mergeCell ref="J29:K29"/>
    <mergeCell ref="A29:B29"/>
    <mergeCell ref="J20:M22"/>
    <mergeCell ref="J24:M26"/>
    <mergeCell ref="E8:H10"/>
    <mergeCell ref="J8:M10"/>
    <mergeCell ref="E12:H14"/>
    <mergeCell ref="E24:H26"/>
    <mergeCell ref="A24:C26"/>
  </mergeCells>
  <hyperlinks>
    <hyperlink ref="A8:C10" location="'1 (1)'!A1" tooltip="All-in-One" display="'1 (1)'!A1" xr:uid="{D2C6C0D5-4D0D-4BF5-BFF2-2EBB7780E09B}"/>
    <hyperlink ref="A12:C14" location="'2'!A1" tooltip="SWP Calc" display="SWP Calculator" xr:uid="{FC22FB76-D4C5-41F9-B58D-11C5F4D90770}"/>
    <hyperlink ref="A16:C18" location="'3'!A1" tooltip="SWP vs Interest Payout" display="SWP vs FD Interest" xr:uid="{F4A098F4-40C9-4628-BE19-7E6074086BC5}"/>
    <hyperlink ref="A20:C22" location="'5'!A1" tooltip="SIP + SWP" display="SIP + SWP" xr:uid="{04ECACBA-26E3-4029-88E1-824E1DC3AAF7}"/>
    <hyperlink ref="A24:C26" location="'6'!A1" tooltip="Term Insurance Planning" display="Term Insurance Planning" xr:uid="{7F947249-7130-4FB1-8514-E5F2CAD0FB76}"/>
    <hyperlink ref="O16:Q18" location="'11'!A1" tooltip="3-in-1" display="3 - in - 1 Calculator" xr:uid="{7EA902E4-60C5-4211-8EA1-D94140C45C8E}"/>
    <hyperlink ref="O8:Q10" location="'7'!A1" tooltip="Retirement Calc" display="Retirement Calculator" xr:uid="{E189AD6F-64DE-4899-BEF4-9F2A3188B508}"/>
    <hyperlink ref="O20:Q22" location="'9'!A1" tooltip="Financial Plan" display="'9'!A1" xr:uid="{9C765C05-BCC7-4608-8AA7-5ED3B6E2BA63}"/>
    <hyperlink ref="O24:Q26" location="'12'!A1" tooltip="Quick Calcys" display="'12'!A1" xr:uid="{4B02FED5-713B-4629-BF64-3B82CE9D54B2}"/>
    <hyperlink ref="O12:Q14" location="'8'!A1" tooltip="Home Loan Tenure &amp; SIP Calcy" display="'8'!A1" xr:uid="{0675455A-B620-4722-BA27-30E516014653}"/>
  </hyperlinks>
  <printOptions horizontalCentered="1"/>
  <pageMargins left="0" right="0" top="0" bottom="0" header="0" footer="0"/>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BC1D-8BF5-4333-8A3F-36A26356D80D}">
  <dimension ref="A1:AC61"/>
  <sheetViews>
    <sheetView showGridLines="0" zoomScaleNormal="100" workbookViewId="0">
      <selection activeCell="A2" sqref="A2:A3"/>
    </sheetView>
  </sheetViews>
  <sheetFormatPr defaultColWidth="0" defaultRowHeight="15" customHeight="1" zeroHeight="1" x14ac:dyDescent="0.35"/>
  <cols>
    <col min="1" max="2" width="9.1796875" style="6" customWidth="1"/>
    <col min="3" max="3" width="11" style="6" customWidth="1"/>
    <col min="4" max="4" width="9.1796875" style="6" customWidth="1"/>
    <col min="5" max="5" width="12.81640625" style="6" customWidth="1"/>
    <col min="6" max="8" width="9.1796875" style="6" customWidth="1"/>
    <col min="9" max="9" width="2.1796875" style="6" customWidth="1"/>
    <col min="10" max="15" width="9.1796875" style="6" customWidth="1"/>
    <col min="16" max="16" width="1.26953125" customWidth="1"/>
    <col min="17" max="19" width="9.1796875" style="6" hidden="1" customWidth="1"/>
    <col min="20" max="21" width="18.453125" style="6" hidden="1" customWidth="1"/>
    <col min="22" max="22" width="9.1796875" style="6" hidden="1" customWidth="1"/>
    <col min="23" max="23" width="13.26953125" style="6" hidden="1" customWidth="1"/>
    <col min="24" max="24" width="16.54296875" style="6" hidden="1" customWidth="1"/>
    <col min="25" max="25" width="17.26953125" style="6" hidden="1" customWidth="1"/>
    <col min="26" max="27" width="9.1796875" style="6" hidden="1" customWidth="1"/>
    <col min="28" max="28" width="15.81640625" style="6" hidden="1" customWidth="1"/>
    <col min="29" max="29" width="19" style="6" hidden="1" customWidth="1"/>
    <col min="30" max="16384" width="9.1796875" style="6" hidden="1"/>
  </cols>
  <sheetData>
    <row r="1" spans="1:29" ht="14.5" x14ac:dyDescent="0.35">
      <c r="V1" s="6" t="str">
        <f>"FV of SIP wealth after "&amp;G14&amp;" years"</f>
        <v>FV of SIP wealth after 20 years</v>
      </c>
      <c r="Y1" s="47">
        <f>IF(G14+G15&gt;50,0,VLOOKUP(G14,$V$9:$X$58,3,0))</f>
        <v>25507445.998769525</v>
      </c>
    </row>
    <row r="2" spans="1:29" ht="14.5" customHeight="1" x14ac:dyDescent="0.35">
      <c r="A2" s="289" t="s">
        <v>5</v>
      </c>
      <c r="B2" s="290" t="s">
        <v>272</v>
      </c>
      <c r="C2" s="290"/>
      <c r="D2" s="290"/>
      <c r="E2" s="290"/>
      <c r="F2" s="290"/>
      <c r="G2" s="290"/>
      <c r="H2" s="290"/>
      <c r="N2"/>
      <c r="O2"/>
      <c r="Q2"/>
      <c r="R2"/>
      <c r="S2"/>
      <c r="T2"/>
      <c r="U2"/>
      <c r="V2" s="6" t="str">
        <f>"FV of SIP wealth after "&amp;G14+G15&amp;" years"</f>
        <v>FV of SIP wealth after 30 years</v>
      </c>
      <c r="Y2" s="47">
        <f>FV($G$16,G15,,-Y1)</f>
        <v>79222255.454715043</v>
      </c>
    </row>
    <row r="3" spans="1:29" ht="14.5" customHeight="1" x14ac:dyDescent="0.35">
      <c r="A3" s="289"/>
      <c r="B3" s="291"/>
      <c r="C3" s="291"/>
      <c r="D3" s="291"/>
      <c r="E3" s="291"/>
      <c r="F3" s="291"/>
      <c r="G3" s="291"/>
      <c r="H3" s="291"/>
      <c r="N3"/>
      <c r="O3"/>
      <c r="Q3"/>
      <c r="R3"/>
      <c r="S3"/>
      <c r="T3"/>
      <c r="U3"/>
      <c r="V3" s="6" t="str">
        <f>"FV of lump sum wealth after "&amp;$G$14+$G$15&amp;" years"</f>
        <v>FV of lump sum wealth after 30 years</v>
      </c>
      <c r="Y3" s="47">
        <f>FV(G18,G14+G15,,-G17)</f>
        <v>5991984.4241822269</v>
      </c>
    </row>
    <row r="4" spans="1:29" ht="14.5" x14ac:dyDescent="0.35">
      <c r="V4" s="6" t="str">
        <f>"FV of fixed SIP wealth after "&amp;G14&amp;" years"</f>
        <v>FV of fixed SIP wealth after 20 years</v>
      </c>
      <c r="Y4" s="47">
        <f>FV((1+$G$16)^(1/12)-1,$G$14*12,-G9,,1)</f>
        <v>18397147.115050893</v>
      </c>
    </row>
    <row r="5" spans="1:29" ht="18.649999999999999" customHeight="1" x14ac:dyDescent="0.35">
      <c r="D5" s="292" t="s">
        <v>274</v>
      </c>
      <c r="E5" s="292"/>
      <c r="F5" s="292"/>
      <c r="G5" s="292"/>
      <c r="J5" s="306" t="s">
        <v>275</v>
      </c>
      <c r="K5" s="306"/>
      <c r="L5" s="306"/>
      <c r="M5" s="306"/>
      <c r="Y5" s="47"/>
    </row>
    <row r="6" spans="1:29" ht="18.649999999999999" customHeight="1" x14ac:dyDescent="0.35">
      <c r="D6" s="292"/>
      <c r="E6" s="292"/>
      <c r="F6" s="292"/>
      <c r="G6" s="292"/>
      <c r="J6" s="306"/>
      <c r="K6" s="306"/>
      <c r="L6" s="306"/>
      <c r="M6" s="306"/>
      <c r="Y6" s="47"/>
    </row>
    <row r="7" spans="1:29" ht="20.149999999999999" customHeight="1" x14ac:dyDescent="0.35">
      <c r="B7" s="295" t="s">
        <v>269</v>
      </c>
      <c r="C7" s="295"/>
      <c r="D7" s="295"/>
      <c r="E7" s="295"/>
      <c r="F7" s="295"/>
      <c r="G7" s="295"/>
      <c r="H7" s="295"/>
      <c r="L7"/>
      <c r="M7"/>
      <c r="N7"/>
      <c r="Q7"/>
      <c r="R7"/>
      <c r="S7"/>
      <c r="T7"/>
      <c r="U7"/>
      <c r="V7" s="21" t="str">
        <f>IF(M17&gt;M7,"SIP tenure cannot be more than goal tenure","")</f>
        <v>SIP tenure cannot be more than goal tenure</v>
      </c>
      <c r="Y7" s="47"/>
    </row>
    <row r="8" spans="1:29" ht="20.149999999999999" customHeight="1" x14ac:dyDescent="0.35">
      <c r="B8" s="296"/>
      <c r="C8" s="296"/>
      <c r="D8" s="296"/>
      <c r="E8" s="296"/>
      <c r="F8" s="296"/>
      <c r="G8" s="296"/>
      <c r="H8" s="296"/>
      <c r="L8"/>
      <c r="M8"/>
      <c r="N8"/>
      <c r="Q8"/>
      <c r="R8"/>
      <c r="S8"/>
      <c r="T8"/>
      <c r="U8"/>
      <c r="V8" s="17" t="s">
        <v>9</v>
      </c>
      <c r="W8" s="17" t="s">
        <v>10</v>
      </c>
      <c r="X8" s="17" t="s">
        <v>11</v>
      </c>
      <c r="Y8" s="17" t="s">
        <v>12</v>
      </c>
      <c r="AA8"/>
      <c r="AB8"/>
      <c r="AC8"/>
    </row>
    <row r="9" spans="1:29" ht="20.149999999999999" customHeight="1" x14ac:dyDescent="0.35">
      <c r="B9" s="282" t="s">
        <v>7</v>
      </c>
      <c r="C9" s="283"/>
      <c r="D9" s="283"/>
      <c r="E9" s="283"/>
      <c r="F9" s="283"/>
      <c r="G9" s="293">
        <v>20000</v>
      </c>
      <c r="H9" s="294"/>
      <c r="J9" s="174" t="s">
        <v>22</v>
      </c>
      <c r="K9" s="315" t="s">
        <v>23</v>
      </c>
      <c r="L9" s="315"/>
      <c r="M9" s="315" t="s">
        <v>299</v>
      </c>
      <c r="N9" s="315"/>
      <c r="O9" s="316"/>
      <c r="Q9" s="103"/>
      <c r="R9" s="103"/>
      <c r="S9" s="103"/>
      <c r="T9" s="103"/>
      <c r="U9" s="103"/>
      <c r="V9" s="19">
        <v>1</v>
      </c>
      <c r="W9" s="18">
        <f>G9</f>
        <v>20000</v>
      </c>
      <c r="X9" s="20">
        <f>FV((1+$G$16)^(1/12)-1,12,-W9,,1)</f>
        <v>255329.9581670647</v>
      </c>
      <c r="Y9" s="18">
        <f>W9*12</f>
        <v>240000</v>
      </c>
      <c r="AA9"/>
      <c r="AB9"/>
      <c r="AC9"/>
    </row>
    <row r="10" spans="1:29" ht="20.149999999999999" customHeight="1" x14ac:dyDescent="0.35">
      <c r="B10" s="282" t="s">
        <v>295</v>
      </c>
      <c r="C10" s="283"/>
      <c r="D10" s="283"/>
      <c r="E10" s="283"/>
      <c r="F10" s="283"/>
      <c r="G10" s="280">
        <v>0.05</v>
      </c>
      <c r="H10" s="281"/>
      <c r="J10" s="185">
        <v>1</v>
      </c>
      <c r="K10" s="317">
        <f>G9</f>
        <v>20000</v>
      </c>
      <c r="L10" s="318"/>
      <c r="M10" s="278">
        <f>FV((1+$G$16)^(1/12)-1,12,-K10,IF(ISNUMBER(M9),-M9,0),1)</f>
        <v>255329.9581670647</v>
      </c>
      <c r="N10" s="278"/>
      <c r="O10" s="278"/>
      <c r="Q10" s="97" t="b">
        <f t="shared" ref="Q10:Q41" si="0">J10&lt;=$G$14</f>
        <v>1</v>
      </c>
      <c r="R10" s="97" t="b">
        <f t="shared" ref="R10:R41" si="1">J10=""</f>
        <v>0</v>
      </c>
      <c r="S10" s="97" t="str">
        <f>IF(R10=FALSE,IF(MOD(ROW(),2)=0,"WHITE","ORANGE"))</f>
        <v>WHITE</v>
      </c>
      <c r="T10" s="97">
        <f t="shared" ref="T10:T41" si="2">K10*12</f>
        <v>240000</v>
      </c>
      <c r="U10" s="97">
        <f>T10</f>
        <v>240000</v>
      </c>
      <c r="V10" s="19">
        <v>2</v>
      </c>
      <c r="W10" s="18">
        <f t="shared" ref="W10:W41" si="3">IF(V10&gt;$G$14,0, W9*(1+$G$10))</f>
        <v>21000</v>
      </c>
      <c r="X10" s="20">
        <f t="shared" ref="X10:X41" si="4">IF(W10=0,0,FV((1+$G$16)^(1/12)-1,12,-W10,-X9,1))</f>
        <v>554066.00922253076</v>
      </c>
      <c r="Y10" s="18">
        <f t="shared" ref="Y10:Y58" si="5">W10*12</f>
        <v>252000</v>
      </c>
      <c r="AA10"/>
      <c r="AB10"/>
      <c r="AC10"/>
    </row>
    <row r="11" spans="1:29" ht="20.149999999999999" customHeight="1" x14ac:dyDescent="0.35">
      <c r="B11" s="282" t="s">
        <v>296</v>
      </c>
      <c r="C11" s="283"/>
      <c r="D11" s="283"/>
      <c r="E11" s="283"/>
      <c r="F11" s="283"/>
      <c r="G11" s="293"/>
      <c r="H11" s="294"/>
      <c r="J11" s="185">
        <f t="shared" ref="J11:J42" si="6">IF(J10="","",IF(J10+1&gt;$G$14 + $G$15,"",J10+1))</f>
        <v>2</v>
      </c>
      <c r="K11" s="276">
        <f>IF(J11="","",IF(Q11, IF($G$13="Percentage", IF(OR(ISBLANK($G$12),$G$12=0),K10*(1+$G$10),IF(K10*(1+$G$10)&gt;$G$12,K10,K10*(1+$G$10))), IF(OR(ISBLANK($G$12),$G$12=0),K10+$G$11, IF(K10+$G$11&gt;$G$12,K10, K10+$G$11))), 0))</f>
        <v>21000</v>
      </c>
      <c r="L11" s="277"/>
      <c r="M11" s="275">
        <f t="shared" ref="M11:M42" si="7">IF(J11="","",FV((1+$G$16)^(1/12)-1,12,-K11,IF(ISNUMBER(M10),-M10,0),1))</f>
        <v>554066.00922253076</v>
      </c>
      <c r="N11" s="275"/>
      <c r="O11" s="275"/>
      <c r="Q11" s="97" t="b">
        <f t="shared" si="0"/>
        <v>1</v>
      </c>
      <c r="R11" s="97" t="b">
        <f t="shared" si="1"/>
        <v>0</v>
      </c>
      <c r="S11" s="97" t="str">
        <f t="shared" ref="S11:S60" si="8">IF(R11=FALSE,IF(MOD(ROW(),2)=0,"WHITE","ORANGE"))</f>
        <v>ORANGE</v>
      </c>
      <c r="T11" s="97">
        <f t="shared" si="2"/>
        <v>252000</v>
      </c>
      <c r="U11" s="97">
        <f>U10+T11</f>
        <v>492000</v>
      </c>
      <c r="V11" s="19">
        <v>3</v>
      </c>
      <c r="W11" s="18">
        <f t="shared" si="3"/>
        <v>22050</v>
      </c>
      <c r="X11" s="20">
        <f t="shared" si="4"/>
        <v>902055.20920842409</v>
      </c>
      <c r="Y11" s="18">
        <f t="shared" si="5"/>
        <v>264600</v>
      </c>
      <c r="AA11"/>
      <c r="AB11"/>
      <c r="AC11"/>
    </row>
    <row r="12" spans="1:29" ht="20.149999999999999" customHeight="1" x14ac:dyDescent="0.35">
      <c r="B12" s="282" t="s">
        <v>280</v>
      </c>
      <c r="C12" s="283"/>
      <c r="D12" s="283"/>
      <c r="E12" s="283"/>
      <c r="F12" s="283"/>
      <c r="G12" s="293"/>
      <c r="H12" s="294"/>
      <c r="J12" s="185">
        <f t="shared" si="6"/>
        <v>3</v>
      </c>
      <c r="K12" s="276">
        <f t="shared" ref="K12:K60" si="9">IF(J12="","",IF(Q12, IF($G$13="Percentage", IF(OR(ISBLANK($G$12),$G$12=0),K11*(1+$G$10),IF(K11*(1+$G$10)&gt;$G$12,K11,K11*(1+$G$10))), IF(OR(ISBLANK($G$12),$G$12=0),K11+$G$11, IF(K11+$G$11&gt;$G$12,K11, K11+$G$11))), 0))</f>
        <v>22050</v>
      </c>
      <c r="L12" s="277"/>
      <c r="M12" s="275">
        <f t="shared" si="7"/>
        <v>902055.20920842409</v>
      </c>
      <c r="N12" s="275"/>
      <c r="O12" s="275"/>
      <c r="Q12" s="97" t="b">
        <f t="shared" si="0"/>
        <v>1</v>
      </c>
      <c r="R12" s="97" t="b">
        <f t="shared" si="1"/>
        <v>0</v>
      </c>
      <c r="S12" s="97" t="str">
        <f t="shared" si="8"/>
        <v>WHITE</v>
      </c>
      <c r="T12" s="97">
        <f t="shared" si="2"/>
        <v>264600</v>
      </c>
      <c r="U12" s="97">
        <f t="shared" ref="U12:U60" si="10">U11+T12</f>
        <v>756600</v>
      </c>
      <c r="V12" s="19">
        <v>4</v>
      </c>
      <c r="W12" s="18">
        <f t="shared" si="3"/>
        <v>23152.5</v>
      </c>
      <c r="X12" s="20">
        <f t="shared" si="4"/>
        <v>1305878.1771365847</v>
      </c>
      <c r="Y12" s="18">
        <f t="shared" si="5"/>
        <v>277830</v>
      </c>
      <c r="AA12"/>
      <c r="AB12"/>
      <c r="AC12"/>
    </row>
    <row r="13" spans="1:29" ht="20.149999999999999" customHeight="1" x14ac:dyDescent="0.35">
      <c r="B13" s="282" t="s">
        <v>298</v>
      </c>
      <c r="C13" s="283"/>
      <c r="D13" s="283"/>
      <c r="E13" s="283"/>
      <c r="F13" s="283"/>
      <c r="G13" s="297" t="s">
        <v>25</v>
      </c>
      <c r="H13" s="298"/>
      <c r="J13" s="185">
        <f t="shared" si="6"/>
        <v>4</v>
      </c>
      <c r="K13" s="276">
        <f t="shared" si="9"/>
        <v>23152.5</v>
      </c>
      <c r="L13" s="277"/>
      <c r="M13" s="275">
        <f t="shared" si="7"/>
        <v>1305878.1771365847</v>
      </c>
      <c r="N13" s="275"/>
      <c r="O13" s="275"/>
      <c r="Q13" s="97" t="b">
        <f t="shared" si="0"/>
        <v>1</v>
      </c>
      <c r="R13" s="97" t="b">
        <f t="shared" si="1"/>
        <v>0</v>
      </c>
      <c r="S13" s="97" t="str">
        <f t="shared" si="8"/>
        <v>ORANGE</v>
      </c>
      <c r="T13" s="97">
        <f t="shared" si="2"/>
        <v>277830</v>
      </c>
      <c r="U13" s="97">
        <f t="shared" si="10"/>
        <v>1034430</v>
      </c>
      <c r="V13" s="54">
        <v>5</v>
      </c>
      <c r="W13" s="18">
        <f t="shared" si="3"/>
        <v>24310.125</v>
      </c>
      <c r="X13" s="20">
        <f t="shared" si="4"/>
        <v>1772938.7183572822</v>
      </c>
      <c r="Y13" s="18">
        <f t="shared" si="5"/>
        <v>291721.5</v>
      </c>
      <c r="AA13"/>
      <c r="AB13"/>
      <c r="AC13"/>
    </row>
    <row r="14" spans="1:29" ht="20.149999999999999" customHeight="1" x14ac:dyDescent="0.35">
      <c r="B14" s="7" t="s">
        <v>266</v>
      </c>
      <c r="C14" s="8"/>
      <c r="D14" s="8"/>
      <c r="E14" s="8"/>
      <c r="F14" s="8"/>
      <c r="G14" s="293">
        <v>20</v>
      </c>
      <c r="H14" s="294"/>
      <c r="J14" s="185">
        <f t="shared" si="6"/>
        <v>5</v>
      </c>
      <c r="K14" s="276">
        <f t="shared" si="9"/>
        <v>24310.125</v>
      </c>
      <c r="L14" s="277"/>
      <c r="M14" s="275">
        <f t="shared" si="7"/>
        <v>1772938.7183572822</v>
      </c>
      <c r="N14" s="275"/>
      <c r="O14" s="275"/>
      <c r="Q14" s="97" t="b">
        <f t="shared" si="0"/>
        <v>1</v>
      </c>
      <c r="R14" s="97" t="b">
        <f t="shared" si="1"/>
        <v>0</v>
      </c>
      <c r="S14" s="97" t="str">
        <f t="shared" si="8"/>
        <v>WHITE</v>
      </c>
      <c r="T14" s="97">
        <f t="shared" si="2"/>
        <v>291721.5</v>
      </c>
      <c r="U14" s="97">
        <f t="shared" si="10"/>
        <v>1326151.5</v>
      </c>
      <c r="V14" s="54">
        <v>6</v>
      </c>
      <c r="W14" s="18">
        <f t="shared" si="3"/>
        <v>25525.631250000002</v>
      </c>
      <c r="X14" s="20">
        <f t="shared" si="4"/>
        <v>2311564.2825226798</v>
      </c>
      <c r="Y14" s="18">
        <f t="shared" si="5"/>
        <v>306307.57500000001</v>
      </c>
      <c r="AA14"/>
      <c r="AB14"/>
      <c r="AC14"/>
    </row>
    <row r="15" spans="1:29" ht="20.149999999999999" customHeight="1" x14ac:dyDescent="0.35">
      <c r="B15" s="7" t="s">
        <v>297</v>
      </c>
      <c r="C15" s="8"/>
      <c r="D15" s="8"/>
      <c r="E15" s="8"/>
      <c r="F15" s="8"/>
      <c r="G15" s="293">
        <v>10</v>
      </c>
      <c r="H15" s="294"/>
      <c r="J15" s="185">
        <f t="shared" si="6"/>
        <v>6</v>
      </c>
      <c r="K15" s="276">
        <f t="shared" si="9"/>
        <v>25525.631250000002</v>
      </c>
      <c r="L15" s="277"/>
      <c r="M15" s="275">
        <f t="shared" si="7"/>
        <v>2311564.2825226798</v>
      </c>
      <c r="N15" s="275"/>
      <c r="O15" s="275"/>
      <c r="Q15" s="97" t="b">
        <f t="shared" si="0"/>
        <v>1</v>
      </c>
      <c r="R15" s="97" t="b">
        <f t="shared" si="1"/>
        <v>0</v>
      </c>
      <c r="S15" s="97" t="str">
        <f t="shared" si="8"/>
        <v>ORANGE</v>
      </c>
      <c r="T15" s="97">
        <f t="shared" si="2"/>
        <v>306307.57500000001</v>
      </c>
      <c r="U15" s="97">
        <f t="shared" si="10"/>
        <v>1632459.075</v>
      </c>
      <c r="V15" s="19">
        <v>7</v>
      </c>
      <c r="W15" s="18">
        <f t="shared" si="3"/>
        <v>26801.912812500002</v>
      </c>
      <c r="X15" s="20">
        <f t="shared" si="4"/>
        <v>2931118.5602860516</v>
      </c>
      <c r="Y15" s="18">
        <f t="shared" si="5"/>
        <v>321622.95375000004</v>
      </c>
      <c r="AA15"/>
      <c r="AB15"/>
      <c r="AC15"/>
    </row>
    <row r="16" spans="1:29" ht="20.149999999999999" customHeight="1" x14ac:dyDescent="0.35">
      <c r="B16" s="7" t="s">
        <v>16</v>
      </c>
      <c r="C16" s="8"/>
      <c r="D16" s="8"/>
      <c r="E16" s="8"/>
      <c r="F16" s="8"/>
      <c r="G16" s="280">
        <v>0.12</v>
      </c>
      <c r="H16" s="281"/>
      <c r="I16" s="9"/>
      <c r="J16" s="185">
        <f t="shared" si="6"/>
        <v>7</v>
      </c>
      <c r="K16" s="276">
        <f t="shared" si="9"/>
        <v>26801.912812500002</v>
      </c>
      <c r="L16" s="277"/>
      <c r="M16" s="275">
        <f t="shared" si="7"/>
        <v>2931118.5602860516</v>
      </c>
      <c r="N16" s="275"/>
      <c r="O16" s="275"/>
      <c r="Q16" s="97" t="b">
        <f t="shared" si="0"/>
        <v>1</v>
      </c>
      <c r="R16" s="97" t="b">
        <f t="shared" si="1"/>
        <v>0</v>
      </c>
      <c r="S16" s="97" t="str">
        <f t="shared" si="8"/>
        <v>WHITE</v>
      </c>
      <c r="T16" s="97">
        <f t="shared" si="2"/>
        <v>321622.95375000004</v>
      </c>
      <c r="U16" s="97">
        <f t="shared" si="10"/>
        <v>1954082.0287500001</v>
      </c>
      <c r="V16" s="19">
        <v>8</v>
      </c>
      <c r="W16" s="18">
        <f t="shared" si="3"/>
        <v>28142.008453125003</v>
      </c>
      <c r="X16" s="20">
        <f t="shared" si="4"/>
        <v>3642127.6795740617</v>
      </c>
      <c r="Y16" s="18">
        <f t="shared" si="5"/>
        <v>337704.10143750004</v>
      </c>
      <c r="AA16"/>
      <c r="AB16"/>
      <c r="AC16"/>
    </row>
    <row r="17" spans="2:29" ht="20.149999999999999" customHeight="1" x14ac:dyDescent="0.35">
      <c r="B17" s="7" t="s">
        <v>8</v>
      </c>
      <c r="C17" s="8"/>
      <c r="D17" s="8"/>
      <c r="E17" s="8"/>
      <c r="F17" s="8"/>
      <c r="G17" s="293">
        <v>200000</v>
      </c>
      <c r="H17" s="294"/>
      <c r="I17" s="9"/>
      <c r="J17" s="185">
        <f t="shared" si="6"/>
        <v>8</v>
      </c>
      <c r="K17" s="276">
        <f t="shared" si="9"/>
        <v>28142.008453125003</v>
      </c>
      <c r="L17" s="277"/>
      <c r="M17" s="275">
        <f t="shared" si="7"/>
        <v>3642127.6795740617</v>
      </c>
      <c r="N17" s="275"/>
      <c r="O17" s="275"/>
      <c r="Q17" s="97" t="b">
        <f t="shared" si="0"/>
        <v>1</v>
      </c>
      <c r="R17" s="97" t="b">
        <f t="shared" si="1"/>
        <v>0</v>
      </c>
      <c r="S17" s="97" t="str">
        <f t="shared" si="8"/>
        <v>ORANGE</v>
      </c>
      <c r="T17" s="97">
        <f t="shared" si="2"/>
        <v>337704.10143750004</v>
      </c>
      <c r="U17" s="97">
        <f t="shared" si="10"/>
        <v>2291786.1301875003</v>
      </c>
      <c r="V17" s="19">
        <v>9</v>
      </c>
      <c r="W17" s="18">
        <f t="shared" si="3"/>
        <v>29549.108875781254</v>
      </c>
      <c r="X17" s="20">
        <f t="shared" si="4"/>
        <v>4456421.6377793178</v>
      </c>
      <c r="Y17" s="18">
        <f t="shared" si="5"/>
        <v>354589.30650937505</v>
      </c>
      <c r="AA17"/>
      <c r="AB17"/>
      <c r="AC17"/>
    </row>
    <row r="18" spans="2:29" ht="20.149999999999999" customHeight="1" x14ac:dyDescent="0.35">
      <c r="B18" s="7" t="s">
        <v>14</v>
      </c>
      <c r="C18" s="8"/>
      <c r="D18" s="8"/>
      <c r="E18" s="8"/>
      <c r="F18" s="8"/>
      <c r="G18" s="280">
        <v>0.12</v>
      </c>
      <c r="H18" s="281"/>
      <c r="I18" s="9"/>
      <c r="J18" s="185">
        <f t="shared" si="6"/>
        <v>9</v>
      </c>
      <c r="K18" s="276">
        <f t="shared" si="9"/>
        <v>29549.108875781254</v>
      </c>
      <c r="L18" s="277"/>
      <c r="M18" s="275">
        <f t="shared" si="7"/>
        <v>4456421.6377793178</v>
      </c>
      <c r="N18" s="275"/>
      <c r="O18" s="275"/>
      <c r="Q18" s="97" t="b">
        <f t="shared" si="0"/>
        <v>1</v>
      </c>
      <c r="R18" s="97" t="b">
        <f t="shared" si="1"/>
        <v>0</v>
      </c>
      <c r="S18" s="97" t="str">
        <f t="shared" si="8"/>
        <v>WHITE</v>
      </c>
      <c r="T18" s="97">
        <f t="shared" si="2"/>
        <v>354589.30650937505</v>
      </c>
      <c r="U18" s="97">
        <f t="shared" si="10"/>
        <v>2646375.4366968754</v>
      </c>
      <c r="V18" s="19">
        <v>10</v>
      </c>
      <c r="W18" s="18">
        <f t="shared" si="3"/>
        <v>31026.56431957032</v>
      </c>
      <c r="X18" s="20">
        <f t="shared" si="4"/>
        <v>5387292.8028020244</v>
      </c>
      <c r="Y18" s="18">
        <f t="shared" si="5"/>
        <v>372318.77183484385</v>
      </c>
      <c r="AA18"/>
      <c r="AB18"/>
      <c r="AC18"/>
    </row>
    <row r="19" spans="2:29" s="9" customFormat="1" ht="20.149999999999999" customHeight="1" x14ac:dyDescent="0.35">
      <c r="B19" s="299" t="str">
        <f>IF(G14+G15&gt;50,"Total investment tenure cannot be more than 50 years","")</f>
        <v/>
      </c>
      <c r="C19" s="299"/>
      <c r="D19" s="299"/>
      <c r="E19" s="299"/>
      <c r="F19" s="299"/>
      <c r="G19" s="299"/>
      <c r="H19" s="299"/>
      <c r="J19" s="185">
        <f t="shared" si="6"/>
        <v>10</v>
      </c>
      <c r="K19" s="276">
        <f t="shared" si="9"/>
        <v>31026.56431957032</v>
      </c>
      <c r="L19" s="277"/>
      <c r="M19" s="275">
        <f t="shared" si="7"/>
        <v>5387292.8028020244</v>
      </c>
      <c r="N19" s="275"/>
      <c r="O19" s="275"/>
      <c r="P19"/>
      <c r="Q19" s="97" t="b">
        <f t="shared" si="0"/>
        <v>1</v>
      </c>
      <c r="R19" s="97" t="b">
        <f t="shared" si="1"/>
        <v>0</v>
      </c>
      <c r="S19" s="97" t="str">
        <f t="shared" si="8"/>
        <v>ORANGE</v>
      </c>
      <c r="T19" s="97">
        <f t="shared" si="2"/>
        <v>372318.77183484385</v>
      </c>
      <c r="U19" s="97">
        <f t="shared" si="10"/>
        <v>3018694.2085317192</v>
      </c>
      <c r="V19" s="19">
        <v>11</v>
      </c>
      <c r="W19" s="18">
        <f t="shared" si="3"/>
        <v>32577.892535548835</v>
      </c>
      <c r="X19" s="20">
        <f t="shared" si="4"/>
        <v>6449673.536051915</v>
      </c>
      <c r="Y19" s="18">
        <f t="shared" si="5"/>
        <v>390934.71042658604</v>
      </c>
      <c r="AA19"/>
      <c r="AB19"/>
      <c r="AC19"/>
    </row>
    <row r="20" spans="2:29" s="9" customFormat="1" ht="20.149999999999999" customHeight="1" x14ac:dyDescent="0.35">
      <c r="D20" s="284" t="s">
        <v>300</v>
      </c>
      <c r="E20" s="285"/>
      <c r="F20" s="285" t="s">
        <v>145</v>
      </c>
      <c r="G20" s="285"/>
      <c r="H20" s="300"/>
      <c r="J20" s="185">
        <f t="shared" si="6"/>
        <v>11</v>
      </c>
      <c r="K20" s="276">
        <f t="shared" si="9"/>
        <v>32577.892535548835</v>
      </c>
      <c r="L20" s="277"/>
      <c r="M20" s="275">
        <f t="shared" si="7"/>
        <v>6449673.536051915</v>
      </c>
      <c r="N20" s="275"/>
      <c r="O20" s="275"/>
      <c r="P20"/>
      <c r="Q20" s="97" t="b">
        <f t="shared" si="0"/>
        <v>1</v>
      </c>
      <c r="R20" s="97" t="b">
        <f t="shared" si="1"/>
        <v>0</v>
      </c>
      <c r="S20" s="97" t="str">
        <f t="shared" si="8"/>
        <v>WHITE</v>
      </c>
      <c r="T20" s="97">
        <f t="shared" si="2"/>
        <v>390934.71042658604</v>
      </c>
      <c r="U20" s="97">
        <f t="shared" si="10"/>
        <v>3409628.9189583054</v>
      </c>
      <c r="V20" s="19">
        <v>12</v>
      </c>
      <c r="W20" s="18">
        <f t="shared" si="3"/>
        <v>34206.787162326276</v>
      </c>
      <c r="X20" s="20">
        <f t="shared" si="4"/>
        <v>7660335.2371374769</v>
      </c>
      <c r="Y20" s="18">
        <f t="shared" si="5"/>
        <v>410481.44594791532</v>
      </c>
      <c r="AA20"/>
      <c r="AB20"/>
      <c r="AC20"/>
    </row>
    <row r="21" spans="2:29" s="9" customFormat="1" ht="20.149999999999999" customHeight="1" x14ac:dyDescent="0.35">
      <c r="B21" s="175" t="s">
        <v>302</v>
      </c>
      <c r="C21" s="98"/>
      <c r="D21" s="301">
        <f>IF(OR(G14+G15&gt;50,AND(OR(ISBLANK(G10),G10=0),OR(ISBLANK(G11),G11=0))),0,VLOOKUP(G14,$J$10:$U$60,12,0))</f>
        <v>7935828.984693219</v>
      </c>
      <c r="E21" s="302"/>
      <c r="F21" s="303">
        <f>IF(OR(G14+G15&gt;50,D21=0),0,VLOOKUP(G14+G15,J10:O60,4,0))</f>
        <v>79222255.454716012</v>
      </c>
      <c r="G21" s="304"/>
      <c r="H21" s="305"/>
      <c r="J21" s="185">
        <f t="shared" si="6"/>
        <v>12</v>
      </c>
      <c r="K21" s="276">
        <f t="shared" si="9"/>
        <v>34206.787162326276</v>
      </c>
      <c r="L21" s="277"/>
      <c r="M21" s="275">
        <f t="shared" si="7"/>
        <v>7660335.2371374769</v>
      </c>
      <c r="N21" s="275"/>
      <c r="O21" s="275"/>
      <c r="P21"/>
      <c r="Q21" s="97" t="b">
        <f t="shared" si="0"/>
        <v>1</v>
      </c>
      <c r="R21" s="97" t="b">
        <f t="shared" si="1"/>
        <v>0</v>
      </c>
      <c r="S21" s="97" t="str">
        <f t="shared" si="8"/>
        <v>ORANGE</v>
      </c>
      <c r="T21" s="97">
        <f t="shared" si="2"/>
        <v>410481.44594791532</v>
      </c>
      <c r="U21" s="97">
        <f t="shared" si="10"/>
        <v>3820110.3649062207</v>
      </c>
      <c r="V21" s="19">
        <v>13</v>
      </c>
      <c r="W21" s="18">
        <f t="shared" si="3"/>
        <v>35917.126520442594</v>
      </c>
      <c r="X21" s="20">
        <f t="shared" si="4"/>
        <v>9038111.3861912731</v>
      </c>
      <c r="Y21" s="18">
        <f t="shared" si="5"/>
        <v>431005.5182453111</v>
      </c>
      <c r="AA21"/>
      <c r="AB21"/>
      <c r="AC21"/>
    </row>
    <row r="22" spans="2:29" s="9" customFormat="1" ht="20.149999999999999" customHeight="1" x14ac:dyDescent="0.35">
      <c r="B22" s="184" t="s">
        <v>365</v>
      </c>
      <c r="C22" s="99"/>
      <c r="D22" s="301">
        <f>G14*12*G9</f>
        <v>4800000</v>
      </c>
      <c r="E22" s="302"/>
      <c r="F22" s="303">
        <f t="shared" ref="F22" si="11">FV(G16,G15,,-FV((1+G16)^(1/12)-1,G14*12,-G9,,1),1)</f>
        <v>57138746.405925691</v>
      </c>
      <c r="G22" s="304"/>
      <c r="H22" s="305"/>
      <c r="J22" s="185">
        <f t="shared" si="6"/>
        <v>13</v>
      </c>
      <c r="K22" s="276">
        <f t="shared" si="9"/>
        <v>35917.126520442594</v>
      </c>
      <c r="L22" s="277"/>
      <c r="M22" s="275">
        <f t="shared" si="7"/>
        <v>9038111.3861912731</v>
      </c>
      <c r="N22" s="275"/>
      <c r="O22" s="275"/>
      <c r="P22"/>
      <c r="Q22" s="97" t="b">
        <f t="shared" si="0"/>
        <v>1</v>
      </c>
      <c r="R22" s="97" t="b">
        <f t="shared" si="1"/>
        <v>0</v>
      </c>
      <c r="S22" s="97" t="str">
        <f t="shared" si="8"/>
        <v>WHITE</v>
      </c>
      <c r="T22" s="97">
        <f t="shared" si="2"/>
        <v>431005.5182453111</v>
      </c>
      <c r="U22" s="97">
        <f t="shared" si="10"/>
        <v>4251115.8831515322</v>
      </c>
      <c r="V22" s="19">
        <v>14</v>
      </c>
      <c r="W22" s="18">
        <f t="shared" si="3"/>
        <v>37712.982846464729</v>
      </c>
      <c r="X22" s="20">
        <f t="shared" si="4"/>
        <v>10604147.469161391</v>
      </c>
      <c r="Y22" s="18">
        <f t="shared" si="5"/>
        <v>452555.79415757675</v>
      </c>
      <c r="AA22"/>
      <c r="AB22"/>
      <c r="AC22"/>
    </row>
    <row r="23" spans="2:29" s="9" customFormat="1" ht="20.149999999999999" customHeight="1" x14ac:dyDescent="0.35">
      <c r="B23" s="206" t="s">
        <v>366</v>
      </c>
      <c r="C23" s="207"/>
      <c r="D23" s="307">
        <f>IF(OR(G14+G15&gt;50,D21=0),0,D21-D22)</f>
        <v>3135828.984693219</v>
      </c>
      <c r="E23" s="308"/>
      <c r="F23" s="309">
        <f>IF(OR(G14+G15&gt;50,D21=0),0,F21-F22)</f>
        <v>22083509.048790321</v>
      </c>
      <c r="G23" s="310"/>
      <c r="H23" s="311"/>
      <c r="J23" s="185">
        <f t="shared" si="6"/>
        <v>14</v>
      </c>
      <c r="K23" s="276">
        <f t="shared" si="9"/>
        <v>37712.982846464729</v>
      </c>
      <c r="L23" s="277"/>
      <c r="M23" s="275">
        <f t="shared" si="7"/>
        <v>10604147.469161391</v>
      </c>
      <c r="N23" s="275"/>
      <c r="O23" s="275"/>
      <c r="P23"/>
      <c r="Q23" s="97" t="b">
        <f t="shared" si="0"/>
        <v>1</v>
      </c>
      <c r="R23" s="97" t="b">
        <f t="shared" si="1"/>
        <v>0</v>
      </c>
      <c r="S23" s="97" t="str">
        <f t="shared" si="8"/>
        <v>ORANGE</v>
      </c>
      <c r="T23" s="97">
        <f t="shared" si="2"/>
        <v>452555.79415757675</v>
      </c>
      <c r="U23" s="97">
        <f t="shared" si="10"/>
        <v>4703671.6773091089</v>
      </c>
      <c r="V23" s="19">
        <v>15</v>
      </c>
      <c r="W23" s="18">
        <f t="shared" si="3"/>
        <v>39598.631988787965</v>
      </c>
      <c r="X23" s="20">
        <f t="shared" si="4"/>
        <v>12382181.017919283</v>
      </c>
      <c r="Y23" s="18">
        <f t="shared" si="5"/>
        <v>475183.58386545558</v>
      </c>
      <c r="AA23"/>
      <c r="AB23"/>
      <c r="AC23"/>
    </row>
    <row r="24" spans="2:29" s="9" customFormat="1" ht="20.149999999999999" customHeight="1" x14ac:dyDescent="0.35">
      <c r="B24" s="184" t="s">
        <v>367</v>
      </c>
      <c r="C24" s="99"/>
      <c r="D24" s="301">
        <f>G17</f>
        <v>200000</v>
      </c>
      <c r="E24" s="302"/>
      <c r="F24" s="303">
        <f>FV(G18,G14+G15,,-G17)</f>
        <v>5991984.4241822269</v>
      </c>
      <c r="G24" s="304"/>
      <c r="H24" s="305"/>
      <c r="J24" s="185">
        <f t="shared" si="6"/>
        <v>15</v>
      </c>
      <c r="K24" s="276">
        <f t="shared" si="9"/>
        <v>39598.631988787965</v>
      </c>
      <c r="L24" s="277"/>
      <c r="M24" s="275">
        <f t="shared" si="7"/>
        <v>12382181.017919283</v>
      </c>
      <c r="N24" s="275"/>
      <c r="O24" s="275"/>
      <c r="P24"/>
      <c r="Q24" s="97" t="b">
        <f t="shared" si="0"/>
        <v>1</v>
      </c>
      <c r="R24" s="97" t="b">
        <f t="shared" si="1"/>
        <v>0</v>
      </c>
      <c r="S24" s="97" t="str">
        <f t="shared" si="8"/>
        <v>WHITE</v>
      </c>
      <c r="T24" s="97">
        <f t="shared" si="2"/>
        <v>475183.58386545558</v>
      </c>
      <c r="U24" s="97">
        <f t="shared" si="10"/>
        <v>5178855.2611745642</v>
      </c>
      <c r="V24" s="19">
        <v>16</v>
      </c>
      <c r="W24" s="18">
        <f t="shared" si="3"/>
        <v>41578.563588227364</v>
      </c>
      <c r="X24" s="20">
        <f t="shared" si="4"/>
        <v>14398855.385151051</v>
      </c>
      <c r="Y24" s="18">
        <f t="shared" si="5"/>
        <v>498942.76305872836</v>
      </c>
      <c r="AA24"/>
      <c r="AB24"/>
      <c r="AC24"/>
    </row>
    <row r="25" spans="2:29" s="9" customFormat="1" ht="20.149999999999999" customHeight="1" x14ac:dyDescent="0.35">
      <c r="B25" s="208" t="s">
        <v>301</v>
      </c>
      <c r="C25" s="209"/>
      <c r="D25" s="312">
        <f>D21+D24</f>
        <v>8135828.984693219</v>
      </c>
      <c r="E25" s="312"/>
      <c r="F25" s="313">
        <f>F24+F21</f>
        <v>85214239.878898233</v>
      </c>
      <c r="G25" s="313"/>
      <c r="H25" s="314"/>
      <c r="I25"/>
      <c r="J25" s="185">
        <f t="shared" si="6"/>
        <v>16</v>
      </c>
      <c r="K25" s="276">
        <f t="shared" si="9"/>
        <v>41578.563588227364</v>
      </c>
      <c r="L25" s="277"/>
      <c r="M25" s="275">
        <f t="shared" si="7"/>
        <v>14398855.385151051</v>
      </c>
      <c r="N25" s="275"/>
      <c r="O25" s="275"/>
      <c r="P25"/>
      <c r="Q25" s="97" t="b">
        <f t="shared" si="0"/>
        <v>1</v>
      </c>
      <c r="R25" s="97" t="b">
        <f t="shared" si="1"/>
        <v>0</v>
      </c>
      <c r="S25" s="97" t="str">
        <f t="shared" si="8"/>
        <v>ORANGE</v>
      </c>
      <c r="T25" s="97">
        <f t="shared" si="2"/>
        <v>498942.76305872836</v>
      </c>
      <c r="U25" s="97">
        <f t="shared" si="10"/>
        <v>5677798.0242332928</v>
      </c>
      <c r="V25" s="19">
        <v>17</v>
      </c>
      <c r="W25" s="18">
        <f t="shared" si="3"/>
        <v>43657.491767638734</v>
      </c>
      <c r="X25" s="20">
        <f t="shared" si="4"/>
        <v>16684071.308704706</v>
      </c>
      <c r="Y25" s="18">
        <f t="shared" si="5"/>
        <v>523889.90121166478</v>
      </c>
      <c r="AA25"/>
      <c r="AB25"/>
      <c r="AC25"/>
    </row>
    <row r="26" spans="2:29" s="9" customFormat="1" ht="20.149999999999999" customHeight="1" x14ac:dyDescent="0.35">
      <c r="B26" s="210" t="s">
        <v>368</v>
      </c>
      <c r="C26" s="211"/>
      <c r="D26" s="286">
        <f>D24+D22</f>
        <v>5000000</v>
      </c>
      <c r="E26" s="286"/>
      <c r="F26" s="287">
        <f t="shared" ref="F26" si="12">F24+F22</f>
        <v>63130730.83010792</v>
      </c>
      <c r="G26" s="287"/>
      <c r="H26" s="288"/>
      <c r="I26"/>
      <c r="J26" s="185">
        <f t="shared" si="6"/>
        <v>17</v>
      </c>
      <c r="K26" s="276">
        <f t="shared" si="9"/>
        <v>43657.491767638734</v>
      </c>
      <c r="L26" s="277"/>
      <c r="M26" s="275">
        <f t="shared" si="7"/>
        <v>16684071.308704706</v>
      </c>
      <c r="N26" s="275"/>
      <c r="O26" s="275"/>
      <c r="P26"/>
      <c r="Q26" s="97" t="b">
        <f t="shared" si="0"/>
        <v>1</v>
      </c>
      <c r="R26" s="97" t="b">
        <f t="shared" si="1"/>
        <v>0</v>
      </c>
      <c r="S26" s="97" t="str">
        <f t="shared" si="8"/>
        <v>WHITE</v>
      </c>
      <c r="T26" s="97">
        <f t="shared" si="2"/>
        <v>523889.90121166478</v>
      </c>
      <c r="U26" s="97">
        <f t="shared" si="10"/>
        <v>6201687.9254449578</v>
      </c>
      <c r="V26" s="19">
        <v>18</v>
      </c>
      <c r="W26" s="18">
        <f t="shared" si="3"/>
        <v>45840.36635602067</v>
      </c>
      <c r="X26" s="20">
        <f t="shared" si="4"/>
        <v>19271380.806951579</v>
      </c>
      <c r="Y26" s="18">
        <f t="shared" si="5"/>
        <v>550084.39627224801</v>
      </c>
      <c r="AA26"/>
      <c r="AB26"/>
      <c r="AC26"/>
    </row>
    <row r="27" spans="2:29" s="9" customFormat="1" ht="20.149999999999999" customHeight="1" x14ac:dyDescent="0.35">
      <c r="H27" s="139" t="str">
        <f ca="1">"Dated: "&amp; TEXT(TODAY(),"DD-MMM-YYYY")</f>
        <v>Dated: 28-Aug-2025</v>
      </c>
      <c r="J27" s="185">
        <f t="shared" si="6"/>
        <v>18</v>
      </c>
      <c r="K27" s="276">
        <f t="shared" si="9"/>
        <v>45840.36635602067</v>
      </c>
      <c r="L27" s="277"/>
      <c r="M27" s="275">
        <f t="shared" si="7"/>
        <v>19271380.806951579</v>
      </c>
      <c r="N27" s="275"/>
      <c r="O27" s="275"/>
      <c r="P27"/>
      <c r="Q27" s="97" t="b">
        <f t="shared" si="0"/>
        <v>1</v>
      </c>
      <c r="R27" s="97" t="b">
        <f t="shared" si="1"/>
        <v>0</v>
      </c>
      <c r="S27" s="97" t="str">
        <f t="shared" si="8"/>
        <v>ORANGE</v>
      </c>
      <c r="T27" s="97">
        <f t="shared" si="2"/>
        <v>550084.39627224801</v>
      </c>
      <c r="U27" s="97">
        <f t="shared" si="10"/>
        <v>6751772.3217172055</v>
      </c>
      <c r="V27" s="19">
        <v>19</v>
      </c>
      <c r="W27" s="18">
        <f t="shared" si="3"/>
        <v>48132.384673821703</v>
      </c>
      <c r="X27" s="20">
        <f t="shared" si="4"/>
        <v>22198428.492048193</v>
      </c>
      <c r="Y27" s="18">
        <f t="shared" si="5"/>
        <v>577588.61608586041</v>
      </c>
      <c r="AA27"/>
      <c r="AB27"/>
      <c r="AC27"/>
    </row>
    <row r="28" spans="2:29" s="9" customFormat="1" ht="20.149999999999999" customHeight="1" x14ac:dyDescent="0.35">
      <c r="B28" s="9" t="s">
        <v>255</v>
      </c>
      <c r="D28" s="279" t="str">
        <f>" "&amp;UPPER('Main Menu'!C29)</f>
        <v xml:space="preserve"> CLIENT NAME</v>
      </c>
      <c r="E28" s="279"/>
      <c r="F28" s="279"/>
      <c r="G28" s="279"/>
      <c r="H28" s="279"/>
      <c r="I28" s="6"/>
      <c r="J28" s="185">
        <f t="shared" si="6"/>
        <v>19</v>
      </c>
      <c r="K28" s="276">
        <f t="shared" si="9"/>
        <v>48132.384673821703</v>
      </c>
      <c r="L28" s="277"/>
      <c r="M28" s="275">
        <f t="shared" si="7"/>
        <v>22198428.492048193</v>
      </c>
      <c r="N28" s="275"/>
      <c r="O28" s="275"/>
      <c r="P28"/>
      <c r="Q28" s="97" t="b">
        <f t="shared" si="0"/>
        <v>1</v>
      </c>
      <c r="R28" s="97" t="b">
        <f t="shared" si="1"/>
        <v>0</v>
      </c>
      <c r="S28" s="97" t="str">
        <f t="shared" si="8"/>
        <v>WHITE</v>
      </c>
      <c r="T28" s="97">
        <f t="shared" si="2"/>
        <v>577588.61608586041</v>
      </c>
      <c r="U28" s="97">
        <f t="shared" si="10"/>
        <v>7329360.9378030654</v>
      </c>
      <c r="V28" s="19">
        <v>20</v>
      </c>
      <c r="W28" s="18">
        <f t="shared" si="3"/>
        <v>50539.003907512793</v>
      </c>
      <c r="X28" s="20">
        <f t="shared" si="4"/>
        <v>25507445.998769525</v>
      </c>
      <c r="Y28" s="18">
        <f t="shared" si="5"/>
        <v>606468.04689015355</v>
      </c>
      <c r="AA28"/>
      <c r="AB28"/>
      <c r="AC28"/>
    </row>
    <row r="29" spans="2:29" s="9" customFormat="1" ht="20.149999999999999" customHeight="1" x14ac:dyDescent="0.35">
      <c r="B29" s="9" t="s">
        <v>256</v>
      </c>
      <c r="D29" s="205" t="str">
        <f>" "&amp;UPPER('Main Menu'!L29)</f>
        <v xml:space="preserve"> PARTNER NAME</v>
      </c>
      <c r="E29" s="205"/>
      <c r="F29" s="205"/>
      <c r="G29" s="205"/>
      <c r="H29" s="205"/>
      <c r="I29" s="96"/>
      <c r="J29" s="185">
        <f t="shared" si="6"/>
        <v>20</v>
      </c>
      <c r="K29" s="276">
        <f t="shared" si="9"/>
        <v>50539.003907512793</v>
      </c>
      <c r="L29" s="277"/>
      <c r="M29" s="275">
        <f t="shared" si="7"/>
        <v>25507445.998769525</v>
      </c>
      <c r="N29" s="275"/>
      <c r="O29" s="275"/>
      <c r="P29"/>
      <c r="Q29" s="97" t="b">
        <f t="shared" si="0"/>
        <v>1</v>
      </c>
      <c r="R29" s="97" t="b">
        <f t="shared" si="1"/>
        <v>0</v>
      </c>
      <c r="S29" s="97" t="str">
        <f t="shared" si="8"/>
        <v>ORANGE</v>
      </c>
      <c r="T29" s="97">
        <f t="shared" si="2"/>
        <v>606468.04689015355</v>
      </c>
      <c r="U29" s="97">
        <f t="shared" si="10"/>
        <v>7935828.984693219</v>
      </c>
      <c r="V29" s="19">
        <v>21</v>
      </c>
      <c r="W29" s="18">
        <f t="shared" si="3"/>
        <v>0</v>
      </c>
      <c r="X29" s="20">
        <f t="shared" si="4"/>
        <v>0</v>
      </c>
      <c r="Y29" s="18">
        <f t="shared" si="5"/>
        <v>0</v>
      </c>
      <c r="AA29"/>
      <c r="AB29"/>
      <c r="AC29"/>
    </row>
    <row r="30" spans="2:29" s="9" customFormat="1" ht="20.149999999999999" customHeight="1" x14ac:dyDescent="0.35">
      <c r="H30" s="139"/>
      <c r="I30" s="96"/>
      <c r="J30" s="185">
        <f t="shared" si="6"/>
        <v>21</v>
      </c>
      <c r="K30" s="276">
        <f t="shared" si="9"/>
        <v>0</v>
      </c>
      <c r="L30" s="277"/>
      <c r="M30" s="275">
        <f t="shared" si="7"/>
        <v>28568339.518621907</v>
      </c>
      <c r="N30" s="275"/>
      <c r="O30" s="275"/>
      <c r="P30"/>
      <c r="Q30" s="97" t="b">
        <f t="shared" si="0"/>
        <v>0</v>
      </c>
      <c r="R30" s="97" t="b">
        <f t="shared" si="1"/>
        <v>0</v>
      </c>
      <c r="S30" s="97" t="str">
        <f t="shared" si="8"/>
        <v>WHITE</v>
      </c>
      <c r="T30" s="97">
        <f t="shared" si="2"/>
        <v>0</v>
      </c>
      <c r="U30" s="97">
        <f t="shared" si="10"/>
        <v>7935828.984693219</v>
      </c>
      <c r="V30" s="19">
        <v>22</v>
      </c>
      <c r="W30" s="18">
        <f t="shared" si="3"/>
        <v>0</v>
      </c>
      <c r="X30" s="20">
        <f t="shared" si="4"/>
        <v>0</v>
      </c>
      <c r="Y30" s="18">
        <f t="shared" si="5"/>
        <v>0</v>
      </c>
      <c r="AA30"/>
      <c r="AB30"/>
      <c r="AC30"/>
    </row>
    <row r="31" spans="2:29" s="9" customFormat="1" ht="20.149999999999999" customHeight="1" x14ac:dyDescent="0.35">
      <c r="B31" s="96"/>
      <c r="C31" s="96"/>
      <c r="D31" s="96"/>
      <c r="E31" s="96"/>
      <c r="F31" s="96"/>
      <c r="G31" s="96"/>
      <c r="H31" s="96"/>
      <c r="I31" s="6"/>
      <c r="J31" s="185">
        <f t="shared" si="6"/>
        <v>22</v>
      </c>
      <c r="K31" s="276">
        <f t="shared" si="9"/>
        <v>0</v>
      </c>
      <c r="L31" s="277"/>
      <c r="M31" s="275">
        <f t="shared" si="7"/>
        <v>31996540.260856576</v>
      </c>
      <c r="N31" s="275"/>
      <c r="O31" s="275"/>
      <c r="P31"/>
      <c r="Q31" s="97" t="b">
        <f t="shared" si="0"/>
        <v>0</v>
      </c>
      <c r="R31" s="97" t="b">
        <f t="shared" si="1"/>
        <v>0</v>
      </c>
      <c r="S31" s="97" t="str">
        <f t="shared" si="8"/>
        <v>ORANGE</v>
      </c>
      <c r="T31" s="97">
        <f t="shared" si="2"/>
        <v>0</v>
      </c>
      <c r="U31" s="97">
        <f t="shared" si="10"/>
        <v>7935828.984693219</v>
      </c>
      <c r="V31" s="19">
        <v>23</v>
      </c>
      <c r="W31" s="18">
        <f t="shared" si="3"/>
        <v>0</v>
      </c>
      <c r="X31" s="20">
        <f t="shared" si="4"/>
        <v>0</v>
      </c>
      <c r="Y31" s="18">
        <f t="shared" si="5"/>
        <v>0</v>
      </c>
      <c r="AA31"/>
      <c r="AB31"/>
      <c r="AC31"/>
    </row>
    <row r="32" spans="2:29" s="9" customFormat="1" ht="20.149999999999999" customHeight="1" x14ac:dyDescent="0.35">
      <c r="B32" s="96"/>
      <c r="C32" s="96"/>
      <c r="D32" s="96"/>
      <c r="E32" s="96"/>
      <c r="F32" s="96"/>
      <c r="G32" s="96"/>
      <c r="H32" s="96"/>
      <c r="I32" s="6"/>
      <c r="J32" s="185">
        <f t="shared" si="6"/>
        <v>23</v>
      </c>
      <c r="K32" s="276">
        <f t="shared" si="9"/>
        <v>0</v>
      </c>
      <c r="L32" s="277"/>
      <c r="M32" s="275">
        <f t="shared" si="7"/>
        <v>35836125.092159413</v>
      </c>
      <c r="N32" s="275"/>
      <c r="O32" s="275"/>
      <c r="P32"/>
      <c r="Q32" s="97" t="b">
        <f t="shared" si="0"/>
        <v>0</v>
      </c>
      <c r="R32" s="97" t="b">
        <f t="shared" si="1"/>
        <v>0</v>
      </c>
      <c r="S32" s="97" t="str">
        <f t="shared" si="8"/>
        <v>WHITE</v>
      </c>
      <c r="T32" s="97">
        <f t="shared" si="2"/>
        <v>0</v>
      </c>
      <c r="U32" s="97">
        <f t="shared" si="10"/>
        <v>7935828.984693219</v>
      </c>
      <c r="V32" s="19">
        <v>24</v>
      </c>
      <c r="W32" s="18">
        <f t="shared" si="3"/>
        <v>0</v>
      </c>
      <c r="X32" s="20">
        <f t="shared" si="4"/>
        <v>0</v>
      </c>
      <c r="Y32" s="18">
        <f t="shared" si="5"/>
        <v>0</v>
      </c>
      <c r="AA32"/>
      <c r="AB32"/>
      <c r="AC32"/>
    </row>
    <row r="33" spans="10:29" ht="20.25" customHeight="1" x14ac:dyDescent="0.35">
      <c r="J33" s="185">
        <f t="shared" si="6"/>
        <v>24</v>
      </c>
      <c r="K33" s="276">
        <f t="shared" si="9"/>
        <v>0</v>
      </c>
      <c r="L33" s="277"/>
      <c r="M33" s="275">
        <f t="shared" si="7"/>
        <v>40136460.103218593</v>
      </c>
      <c r="N33" s="275"/>
      <c r="O33" s="275"/>
      <c r="Q33" s="97" t="b">
        <f t="shared" si="0"/>
        <v>0</v>
      </c>
      <c r="R33" s="97" t="b">
        <f t="shared" si="1"/>
        <v>0</v>
      </c>
      <c r="S33" s="97" t="str">
        <f t="shared" si="8"/>
        <v>ORANGE</v>
      </c>
      <c r="T33" s="97">
        <f t="shared" si="2"/>
        <v>0</v>
      </c>
      <c r="U33" s="97">
        <f t="shared" si="10"/>
        <v>7935828.984693219</v>
      </c>
      <c r="V33" s="19">
        <v>25</v>
      </c>
      <c r="W33" s="18">
        <f t="shared" si="3"/>
        <v>0</v>
      </c>
      <c r="X33" s="20">
        <f t="shared" si="4"/>
        <v>0</v>
      </c>
      <c r="Y33" s="18">
        <f t="shared" si="5"/>
        <v>0</v>
      </c>
      <c r="AA33"/>
      <c r="AB33"/>
      <c r="AC33"/>
    </row>
    <row r="34" spans="10:29" ht="20.25" customHeight="1" x14ac:dyDescent="0.35">
      <c r="J34" s="185">
        <f t="shared" si="6"/>
        <v>25</v>
      </c>
      <c r="K34" s="276">
        <f t="shared" si="9"/>
        <v>0</v>
      </c>
      <c r="L34" s="277"/>
      <c r="M34" s="275">
        <f t="shared" si="7"/>
        <v>44952835.31560488</v>
      </c>
      <c r="N34" s="275"/>
      <c r="O34" s="275"/>
      <c r="Q34" s="97" t="b">
        <f t="shared" si="0"/>
        <v>0</v>
      </c>
      <c r="R34" s="97" t="b">
        <f t="shared" si="1"/>
        <v>0</v>
      </c>
      <c r="S34" s="97" t="str">
        <f t="shared" si="8"/>
        <v>WHITE</v>
      </c>
      <c r="T34" s="97">
        <f t="shared" si="2"/>
        <v>0</v>
      </c>
      <c r="U34" s="97">
        <f t="shared" si="10"/>
        <v>7935828.984693219</v>
      </c>
      <c r="V34" s="19">
        <v>26</v>
      </c>
      <c r="W34" s="18">
        <f t="shared" si="3"/>
        <v>0</v>
      </c>
      <c r="X34" s="20">
        <f t="shared" si="4"/>
        <v>0</v>
      </c>
      <c r="Y34" s="18">
        <f t="shared" si="5"/>
        <v>0</v>
      </c>
      <c r="AA34"/>
      <c r="AB34"/>
      <c r="AC34"/>
    </row>
    <row r="35" spans="10:29" ht="20.25" customHeight="1" x14ac:dyDescent="0.35">
      <c r="J35" s="185">
        <f t="shared" si="6"/>
        <v>26</v>
      </c>
      <c r="K35" s="276">
        <f t="shared" si="9"/>
        <v>0</v>
      </c>
      <c r="L35" s="277"/>
      <c r="M35" s="275">
        <f t="shared" si="7"/>
        <v>50347175.553477533</v>
      </c>
      <c r="N35" s="275"/>
      <c r="O35" s="275"/>
      <c r="Q35" s="97" t="b">
        <f t="shared" si="0"/>
        <v>0</v>
      </c>
      <c r="R35" s="97" t="b">
        <f t="shared" si="1"/>
        <v>0</v>
      </c>
      <c r="S35" s="97" t="str">
        <f t="shared" si="8"/>
        <v>ORANGE</v>
      </c>
      <c r="T35" s="97">
        <f t="shared" si="2"/>
        <v>0</v>
      </c>
      <c r="U35" s="97">
        <f t="shared" si="10"/>
        <v>7935828.984693219</v>
      </c>
      <c r="V35" s="19">
        <v>27</v>
      </c>
      <c r="W35" s="18">
        <f t="shared" si="3"/>
        <v>0</v>
      </c>
      <c r="X35" s="20">
        <f t="shared" si="4"/>
        <v>0</v>
      </c>
      <c r="Y35" s="18">
        <f t="shared" si="5"/>
        <v>0</v>
      </c>
      <c r="AA35"/>
      <c r="AB35"/>
      <c r="AC35"/>
    </row>
    <row r="36" spans="10:29" ht="20.25" customHeight="1" x14ac:dyDescent="0.35">
      <c r="J36" s="185">
        <f t="shared" si="6"/>
        <v>27</v>
      </c>
      <c r="K36" s="276">
        <f t="shared" si="9"/>
        <v>0</v>
      </c>
      <c r="L36" s="277"/>
      <c r="M36" s="275">
        <f t="shared" si="7"/>
        <v>56388836.619894907</v>
      </c>
      <c r="N36" s="275"/>
      <c r="O36" s="275"/>
      <c r="Q36" s="97" t="b">
        <f t="shared" si="0"/>
        <v>0</v>
      </c>
      <c r="R36" s="97" t="b">
        <f t="shared" si="1"/>
        <v>0</v>
      </c>
      <c r="S36" s="97" t="str">
        <f t="shared" si="8"/>
        <v>WHITE</v>
      </c>
      <c r="T36" s="97">
        <f t="shared" si="2"/>
        <v>0</v>
      </c>
      <c r="U36" s="97">
        <f t="shared" si="10"/>
        <v>7935828.984693219</v>
      </c>
      <c r="V36" s="19">
        <v>28</v>
      </c>
      <c r="W36" s="18">
        <f t="shared" si="3"/>
        <v>0</v>
      </c>
      <c r="X36" s="20">
        <f t="shared" si="4"/>
        <v>0</v>
      </c>
      <c r="Y36" s="18">
        <f t="shared" si="5"/>
        <v>0</v>
      </c>
      <c r="AA36"/>
      <c r="AB36"/>
      <c r="AC36"/>
    </row>
    <row r="37" spans="10:29" ht="20.25" customHeight="1" x14ac:dyDescent="0.35">
      <c r="J37" s="185">
        <f t="shared" si="6"/>
        <v>28</v>
      </c>
      <c r="K37" s="276">
        <f t="shared" si="9"/>
        <v>0</v>
      </c>
      <c r="L37" s="277"/>
      <c r="M37" s="275">
        <f t="shared" si="7"/>
        <v>63155497.014282376</v>
      </c>
      <c r="N37" s="275"/>
      <c r="O37" s="275"/>
      <c r="Q37" s="97" t="b">
        <f t="shared" si="0"/>
        <v>0</v>
      </c>
      <c r="R37" s="97" t="b">
        <f t="shared" si="1"/>
        <v>0</v>
      </c>
      <c r="S37" s="97" t="str">
        <f t="shared" si="8"/>
        <v>ORANGE</v>
      </c>
      <c r="T37" s="97">
        <f t="shared" si="2"/>
        <v>0</v>
      </c>
      <c r="U37" s="97">
        <f t="shared" si="10"/>
        <v>7935828.984693219</v>
      </c>
      <c r="V37" s="19">
        <v>29</v>
      </c>
      <c r="W37" s="18">
        <f t="shared" si="3"/>
        <v>0</v>
      </c>
      <c r="X37" s="20">
        <f t="shared" si="4"/>
        <v>0</v>
      </c>
      <c r="Y37" s="18">
        <f t="shared" si="5"/>
        <v>0</v>
      </c>
      <c r="AA37"/>
      <c r="AB37"/>
      <c r="AC37"/>
    </row>
    <row r="38" spans="10:29" ht="20.25" customHeight="1" x14ac:dyDescent="0.35">
      <c r="J38" s="185">
        <f t="shared" si="6"/>
        <v>29</v>
      </c>
      <c r="K38" s="276">
        <f t="shared" si="9"/>
        <v>0</v>
      </c>
      <c r="L38" s="277"/>
      <c r="M38" s="275">
        <f t="shared" si="7"/>
        <v>70734156.655996352</v>
      </c>
      <c r="N38" s="275"/>
      <c r="O38" s="275"/>
      <c r="Q38" s="97" t="b">
        <f t="shared" si="0"/>
        <v>0</v>
      </c>
      <c r="R38" s="97" t="b">
        <f t="shared" si="1"/>
        <v>0</v>
      </c>
      <c r="S38" s="97" t="str">
        <f t="shared" si="8"/>
        <v>WHITE</v>
      </c>
      <c r="T38" s="97">
        <f t="shared" si="2"/>
        <v>0</v>
      </c>
      <c r="U38" s="97">
        <f t="shared" si="10"/>
        <v>7935828.984693219</v>
      </c>
      <c r="V38" s="19">
        <v>30</v>
      </c>
      <c r="W38" s="18">
        <f t="shared" si="3"/>
        <v>0</v>
      </c>
      <c r="X38" s="20">
        <f t="shared" si="4"/>
        <v>0</v>
      </c>
      <c r="Y38" s="18">
        <f t="shared" si="5"/>
        <v>0</v>
      </c>
      <c r="AA38"/>
      <c r="AB38"/>
      <c r="AC38"/>
    </row>
    <row r="39" spans="10:29" ht="20.25" customHeight="1" x14ac:dyDescent="0.35">
      <c r="J39" s="185">
        <f t="shared" si="6"/>
        <v>30</v>
      </c>
      <c r="K39" s="276">
        <f t="shared" si="9"/>
        <v>0</v>
      </c>
      <c r="L39" s="277"/>
      <c r="M39" s="275">
        <f t="shared" si="7"/>
        <v>79222255.454716012</v>
      </c>
      <c r="N39" s="275"/>
      <c r="O39" s="275"/>
      <c r="Q39" s="97" t="b">
        <f t="shared" si="0"/>
        <v>0</v>
      </c>
      <c r="R39" s="97" t="b">
        <f t="shared" si="1"/>
        <v>0</v>
      </c>
      <c r="S39" s="97" t="str">
        <f t="shared" si="8"/>
        <v>ORANGE</v>
      </c>
      <c r="T39" s="97">
        <f t="shared" si="2"/>
        <v>0</v>
      </c>
      <c r="U39" s="97">
        <f t="shared" si="10"/>
        <v>7935828.984693219</v>
      </c>
      <c r="V39" s="19">
        <v>31</v>
      </c>
      <c r="W39" s="18">
        <f t="shared" si="3"/>
        <v>0</v>
      </c>
      <c r="X39" s="20">
        <f t="shared" si="4"/>
        <v>0</v>
      </c>
      <c r="Y39" s="18">
        <f t="shared" si="5"/>
        <v>0</v>
      </c>
      <c r="AA39"/>
      <c r="AB39"/>
      <c r="AC39"/>
    </row>
    <row r="40" spans="10:29" ht="20.25" customHeight="1" x14ac:dyDescent="0.35">
      <c r="J40" s="185" t="str">
        <f t="shared" si="6"/>
        <v/>
      </c>
      <c r="K40" s="276" t="str">
        <f t="shared" si="9"/>
        <v/>
      </c>
      <c r="L40" s="277"/>
      <c r="M40" s="275" t="str">
        <f t="shared" si="7"/>
        <v/>
      </c>
      <c r="N40" s="275"/>
      <c r="O40" s="275"/>
      <c r="Q40" s="97" t="b">
        <f t="shared" si="0"/>
        <v>0</v>
      </c>
      <c r="R40" s="97" t="b">
        <f t="shared" si="1"/>
        <v>1</v>
      </c>
      <c r="S40" s="97" t="b">
        <f t="shared" si="8"/>
        <v>0</v>
      </c>
      <c r="T40" s="97" t="e">
        <f t="shared" si="2"/>
        <v>#VALUE!</v>
      </c>
      <c r="U40" s="97" t="e">
        <f t="shared" si="10"/>
        <v>#VALUE!</v>
      </c>
      <c r="V40" s="19">
        <v>32</v>
      </c>
      <c r="W40" s="18">
        <f t="shared" si="3"/>
        <v>0</v>
      </c>
      <c r="X40" s="20">
        <f t="shared" si="4"/>
        <v>0</v>
      </c>
      <c r="Y40" s="18">
        <f t="shared" si="5"/>
        <v>0</v>
      </c>
      <c r="AA40"/>
      <c r="AB40"/>
      <c r="AC40"/>
    </row>
    <row r="41" spans="10:29" ht="20.25" customHeight="1" x14ac:dyDescent="0.35">
      <c r="J41" s="185" t="str">
        <f t="shared" si="6"/>
        <v/>
      </c>
      <c r="K41" s="276" t="str">
        <f t="shared" si="9"/>
        <v/>
      </c>
      <c r="L41" s="277"/>
      <c r="M41" s="275" t="str">
        <f t="shared" si="7"/>
        <v/>
      </c>
      <c r="N41" s="275"/>
      <c r="O41" s="275"/>
      <c r="Q41" s="97" t="b">
        <f t="shared" si="0"/>
        <v>0</v>
      </c>
      <c r="R41" s="97" t="b">
        <f t="shared" si="1"/>
        <v>1</v>
      </c>
      <c r="S41" s="97" t="b">
        <f t="shared" si="8"/>
        <v>0</v>
      </c>
      <c r="T41" s="97" t="e">
        <f t="shared" si="2"/>
        <v>#VALUE!</v>
      </c>
      <c r="U41" s="97" t="e">
        <f t="shared" si="10"/>
        <v>#VALUE!</v>
      </c>
      <c r="V41" s="19">
        <v>33</v>
      </c>
      <c r="W41" s="18">
        <f t="shared" si="3"/>
        <v>0</v>
      </c>
      <c r="X41" s="20">
        <f t="shared" si="4"/>
        <v>0</v>
      </c>
      <c r="Y41" s="18">
        <f t="shared" si="5"/>
        <v>0</v>
      </c>
      <c r="AA41"/>
      <c r="AB41"/>
      <c r="AC41"/>
    </row>
    <row r="42" spans="10:29" ht="20.25" customHeight="1" x14ac:dyDescent="0.35">
      <c r="J42" s="185" t="str">
        <f t="shared" si="6"/>
        <v/>
      </c>
      <c r="K42" s="276" t="str">
        <f t="shared" si="9"/>
        <v/>
      </c>
      <c r="L42" s="277"/>
      <c r="M42" s="275" t="str">
        <f t="shared" si="7"/>
        <v/>
      </c>
      <c r="N42" s="275"/>
      <c r="O42" s="275"/>
      <c r="Q42" s="97" t="b">
        <f t="shared" ref="Q42:Q60" si="13">J42&lt;=$G$14</f>
        <v>0</v>
      </c>
      <c r="R42" s="97" t="b">
        <f t="shared" ref="R42:R60" si="14">J42=""</f>
        <v>1</v>
      </c>
      <c r="S42" s="97" t="b">
        <f t="shared" si="8"/>
        <v>0</v>
      </c>
      <c r="T42" s="97" t="e">
        <f t="shared" ref="T42:T60" si="15">K42*12</f>
        <v>#VALUE!</v>
      </c>
      <c r="U42" s="97" t="e">
        <f t="shared" si="10"/>
        <v>#VALUE!</v>
      </c>
      <c r="V42" s="19">
        <v>34</v>
      </c>
      <c r="W42" s="18">
        <f t="shared" ref="W42:W58" si="16">IF(V42&gt;$G$14,0, W41*(1+$G$10))</f>
        <v>0</v>
      </c>
      <c r="X42" s="20">
        <f t="shared" ref="X42:X58" si="17">IF(W42=0,0,FV((1+$G$16)^(1/12)-1,12,-W42,-X41,1))</f>
        <v>0</v>
      </c>
      <c r="Y42" s="18">
        <f t="shared" si="5"/>
        <v>0</v>
      </c>
      <c r="AA42"/>
      <c r="AB42"/>
      <c r="AC42"/>
    </row>
    <row r="43" spans="10:29" ht="20.25" customHeight="1" x14ac:dyDescent="0.35">
      <c r="J43" s="185" t="str">
        <f t="shared" ref="J43:J60" si="18">IF(J42="","",IF(J42+1&gt;$G$14 + $G$15,"",J42+1))</f>
        <v/>
      </c>
      <c r="K43" s="276" t="str">
        <f t="shared" si="9"/>
        <v/>
      </c>
      <c r="L43" s="277"/>
      <c r="M43" s="275" t="str">
        <f t="shared" ref="M43:M60" si="19">IF(J43="","",FV((1+$G$16)^(1/12)-1,12,-K43,IF(ISNUMBER(M42),-M42,0),1))</f>
        <v/>
      </c>
      <c r="N43" s="275"/>
      <c r="O43" s="275"/>
      <c r="Q43" s="97" t="b">
        <f t="shared" si="13"/>
        <v>0</v>
      </c>
      <c r="R43" s="97" t="b">
        <f t="shared" si="14"/>
        <v>1</v>
      </c>
      <c r="S43" s="97" t="b">
        <f t="shared" si="8"/>
        <v>0</v>
      </c>
      <c r="T43" s="97" t="e">
        <f t="shared" si="15"/>
        <v>#VALUE!</v>
      </c>
      <c r="U43" s="97" t="e">
        <f t="shared" si="10"/>
        <v>#VALUE!</v>
      </c>
      <c r="V43" s="19">
        <v>35</v>
      </c>
      <c r="W43" s="18">
        <f t="shared" si="16"/>
        <v>0</v>
      </c>
      <c r="X43" s="20">
        <f t="shared" si="17"/>
        <v>0</v>
      </c>
      <c r="Y43" s="18">
        <f t="shared" si="5"/>
        <v>0</v>
      </c>
      <c r="AA43"/>
      <c r="AB43"/>
      <c r="AC43"/>
    </row>
    <row r="44" spans="10:29" ht="20.25" customHeight="1" x14ac:dyDescent="0.35">
      <c r="J44" s="185" t="str">
        <f t="shared" si="18"/>
        <v/>
      </c>
      <c r="K44" s="276" t="str">
        <f t="shared" si="9"/>
        <v/>
      </c>
      <c r="L44" s="277"/>
      <c r="M44" s="275" t="str">
        <f t="shared" si="19"/>
        <v/>
      </c>
      <c r="N44" s="275"/>
      <c r="O44" s="275"/>
      <c r="Q44" s="97" t="b">
        <f t="shared" si="13"/>
        <v>0</v>
      </c>
      <c r="R44" s="97" t="b">
        <f t="shared" si="14"/>
        <v>1</v>
      </c>
      <c r="S44" s="97" t="b">
        <f t="shared" si="8"/>
        <v>0</v>
      </c>
      <c r="T44" s="97" t="e">
        <f t="shared" si="15"/>
        <v>#VALUE!</v>
      </c>
      <c r="U44" s="97" t="e">
        <f t="shared" si="10"/>
        <v>#VALUE!</v>
      </c>
      <c r="V44" s="19">
        <v>36</v>
      </c>
      <c r="W44" s="18">
        <f t="shared" si="16"/>
        <v>0</v>
      </c>
      <c r="X44" s="20">
        <f t="shared" si="17"/>
        <v>0</v>
      </c>
      <c r="Y44" s="18">
        <f t="shared" si="5"/>
        <v>0</v>
      </c>
      <c r="AA44"/>
      <c r="AB44"/>
      <c r="AC44"/>
    </row>
    <row r="45" spans="10:29" ht="20.25" customHeight="1" x14ac:dyDescent="0.35">
      <c r="J45" s="185" t="str">
        <f t="shared" si="18"/>
        <v/>
      </c>
      <c r="K45" s="276" t="str">
        <f t="shared" si="9"/>
        <v/>
      </c>
      <c r="L45" s="277"/>
      <c r="M45" s="275" t="str">
        <f t="shared" si="19"/>
        <v/>
      </c>
      <c r="N45" s="275"/>
      <c r="O45" s="275"/>
      <c r="Q45" s="97" t="b">
        <f t="shared" si="13"/>
        <v>0</v>
      </c>
      <c r="R45" s="97" t="b">
        <f t="shared" si="14"/>
        <v>1</v>
      </c>
      <c r="S45" s="97" t="b">
        <f t="shared" si="8"/>
        <v>0</v>
      </c>
      <c r="T45" s="97" t="e">
        <f t="shared" si="15"/>
        <v>#VALUE!</v>
      </c>
      <c r="U45" s="97" t="e">
        <f t="shared" si="10"/>
        <v>#VALUE!</v>
      </c>
      <c r="V45" s="19">
        <v>37</v>
      </c>
      <c r="W45" s="18">
        <f t="shared" si="16"/>
        <v>0</v>
      </c>
      <c r="X45" s="20">
        <f t="shared" si="17"/>
        <v>0</v>
      </c>
      <c r="Y45" s="18">
        <f t="shared" si="5"/>
        <v>0</v>
      </c>
      <c r="AA45"/>
      <c r="AB45"/>
      <c r="AC45"/>
    </row>
    <row r="46" spans="10:29" ht="20.25" customHeight="1" x14ac:dyDescent="0.35">
      <c r="J46" s="185" t="str">
        <f t="shared" si="18"/>
        <v/>
      </c>
      <c r="K46" s="276" t="str">
        <f t="shared" si="9"/>
        <v/>
      </c>
      <c r="L46" s="277"/>
      <c r="M46" s="275" t="str">
        <f t="shared" si="19"/>
        <v/>
      </c>
      <c r="N46" s="275"/>
      <c r="O46" s="275"/>
      <c r="Q46" s="97" t="b">
        <f t="shared" si="13"/>
        <v>0</v>
      </c>
      <c r="R46" s="97" t="b">
        <f t="shared" si="14"/>
        <v>1</v>
      </c>
      <c r="S46" s="97" t="b">
        <f t="shared" si="8"/>
        <v>0</v>
      </c>
      <c r="T46" s="97" t="e">
        <f t="shared" si="15"/>
        <v>#VALUE!</v>
      </c>
      <c r="U46" s="97" t="e">
        <f t="shared" si="10"/>
        <v>#VALUE!</v>
      </c>
      <c r="V46" s="19">
        <v>38</v>
      </c>
      <c r="W46" s="18">
        <f t="shared" si="16"/>
        <v>0</v>
      </c>
      <c r="X46" s="20">
        <f t="shared" si="17"/>
        <v>0</v>
      </c>
      <c r="Y46" s="18">
        <f t="shared" si="5"/>
        <v>0</v>
      </c>
      <c r="AA46"/>
      <c r="AB46"/>
      <c r="AC46"/>
    </row>
    <row r="47" spans="10:29" ht="20.25" customHeight="1" x14ac:dyDescent="0.35">
      <c r="J47" s="185" t="str">
        <f t="shared" si="18"/>
        <v/>
      </c>
      <c r="K47" s="276" t="str">
        <f t="shared" si="9"/>
        <v/>
      </c>
      <c r="L47" s="277"/>
      <c r="M47" s="275" t="str">
        <f t="shared" si="19"/>
        <v/>
      </c>
      <c r="N47" s="275"/>
      <c r="O47" s="275"/>
      <c r="Q47" s="97" t="b">
        <f t="shared" si="13"/>
        <v>0</v>
      </c>
      <c r="R47" s="97" t="b">
        <f t="shared" si="14"/>
        <v>1</v>
      </c>
      <c r="S47" s="97" t="b">
        <f t="shared" si="8"/>
        <v>0</v>
      </c>
      <c r="T47" s="97" t="e">
        <f t="shared" si="15"/>
        <v>#VALUE!</v>
      </c>
      <c r="U47" s="97" t="e">
        <f t="shared" si="10"/>
        <v>#VALUE!</v>
      </c>
      <c r="V47" s="19">
        <v>39</v>
      </c>
      <c r="W47" s="18">
        <f t="shared" si="16"/>
        <v>0</v>
      </c>
      <c r="X47" s="20">
        <f t="shared" si="17"/>
        <v>0</v>
      </c>
      <c r="Y47" s="18">
        <f t="shared" si="5"/>
        <v>0</v>
      </c>
      <c r="AA47"/>
      <c r="AB47"/>
      <c r="AC47"/>
    </row>
    <row r="48" spans="10:29" ht="20.25" customHeight="1" x14ac:dyDescent="0.35">
      <c r="J48" s="185" t="str">
        <f t="shared" si="18"/>
        <v/>
      </c>
      <c r="K48" s="276" t="str">
        <f t="shared" si="9"/>
        <v/>
      </c>
      <c r="L48" s="277"/>
      <c r="M48" s="275" t="str">
        <f t="shared" si="19"/>
        <v/>
      </c>
      <c r="N48" s="275"/>
      <c r="O48" s="275"/>
      <c r="Q48" s="97" t="b">
        <f t="shared" si="13"/>
        <v>0</v>
      </c>
      <c r="R48" s="97" t="b">
        <f t="shared" si="14"/>
        <v>1</v>
      </c>
      <c r="S48" s="97" t="b">
        <f t="shared" si="8"/>
        <v>0</v>
      </c>
      <c r="T48" s="97" t="e">
        <f t="shared" si="15"/>
        <v>#VALUE!</v>
      </c>
      <c r="U48" s="97" t="e">
        <f t="shared" si="10"/>
        <v>#VALUE!</v>
      </c>
      <c r="V48" s="19">
        <v>40</v>
      </c>
      <c r="W48" s="18">
        <f t="shared" si="16"/>
        <v>0</v>
      </c>
      <c r="X48" s="20">
        <f t="shared" si="17"/>
        <v>0</v>
      </c>
      <c r="Y48" s="18">
        <f t="shared" si="5"/>
        <v>0</v>
      </c>
      <c r="AA48"/>
      <c r="AB48"/>
      <c r="AC48"/>
    </row>
    <row r="49" spans="10:29" ht="20.25" customHeight="1" x14ac:dyDescent="0.35">
      <c r="J49" s="185" t="str">
        <f t="shared" si="18"/>
        <v/>
      </c>
      <c r="K49" s="276" t="str">
        <f t="shared" si="9"/>
        <v/>
      </c>
      <c r="L49" s="277"/>
      <c r="M49" s="275" t="str">
        <f t="shared" si="19"/>
        <v/>
      </c>
      <c r="N49" s="275"/>
      <c r="O49" s="275"/>
      <c r="Q49" s="97" t="b">
        <f t="shared" si="13"/>
        <v>0</v>
      </c>
      <c r="R49" s="97" t="b">
        <f t="shared" si="14"/>
        <v>1</v>
      </c>
      <c r="S49" s="97" t="b">
        <f t="shared" si="8"/>
        <v>0</v>
      </c>
      <c r="T49" s="97" t="e">
        <f t="shared" si="15"/>
        <v>#VALUE!</v>
      </c>
      <c r="U49" s="97" t="e">
        <f t="shared" si="10"/>
        <v>#VALUE!</v>
      </c>
      <c r="V49" s="19">
        <v>41</v>
      </c>
      <c r="W49" s="18">
        <f t="shared" si="16"/>
        <v>0</v>
      </c>
      <c r="X49" s="20">
        <f t="shared" si="17"/>
        <v>0</v>
      </c>
      <c r="Y49" s="18">
        <f t="shared" si="5"/>
        <v>0</v>
      </c>
      <c r="AA49"/>
      <c r="AB49"/>
      <c r="AC49"/>
    </row>
    <row r="50" spans="10:29" ht="20.25" customHeight="1" x14ac:dyDescent="0.35">
      <c r="J50" s="185" t="str">
        <f t="shared" si="18"/>
        <v/>
      </c>
      <c r="K50" s="276" t="str">
        <f t="shared" si="9"/>
        <v/>
      </c>
      <c r="L50" s="277"/>
      <c r="M50" s="275" t="str">
        <f t="shared" si="19"/>
        <v/>
      </c>
      <c r="N50" s="275"/>
      <c r="O50" s="275"/>
      <c r="Q50" s="97" t="b">
        <f t="shared" si="13"/>
        <v>0</v>
      </c>
      <c r="R50" s="97" t="b">
        <f t="shared" si="14"/>
        <v>1</v>
      </c>
      <c r="S50" s="97" t="b">
        <f t="shared" si="8"/>
        <v>0</v>
      </c>
      <c r="T50" s="97" t="e">
        <f t="shared" si="15"/>
        <v>#VALUE!</v>
      </c>
      <c r="U50" s="97" t="e">
        <f t="shared" si="10"/>
        <v>#VALUE!</v>
      </c>
      <c r="V50" s="19">
        <v>42</v>
      </c>
      <c r="W50" s="18">
        <f t="shared" si="16"/>
        <v>0</v>
      </c>
      <c r="X50" s="20">
        <f t="shared" si="17"/>
        <v>0</v>
      </c>
      <c r="Y50" s="18">
        <f t="shared" si="5"/>
        <v>0</v>
      </c>
      <c r="AA50"/>
      <c r="AB50"/>
      <c r="AC50"/>
    </row>
    <row r="51" spans="10:29" ht="20.25" customHeight="1" x14ac:dyDescent="0.35">
      <c r="J51" s="185" t="str">
        <f t="shared" si="18"/>
        <v/>
      </c>
      <c r="K51" s="276" t="str">
        <f t="shared" si="9"/>
        <v/>
      </c>
      <c r="L51" s="277"/>
      <c r="M51" s="275" t="str">
        <f t="shared" si="19"/>
        <v/>
      </c>
      <c r="N51" s="275"/>
      <c r="O51" s="275"/>
      <c r="Q51" s="97" t="b">
        <f t="shared" si="13"/>
        <v>0</v>
      </c>
      <c r="R51" s="97" t="b">
        <f t="shared" si="14"/>
        <v>1</v>
      </c>
      <c r="S51" s="97" t="b">
        <f t="shared" si="8"/>
        <v>0</v>
      </c>
      <c r="T51" s="97" t="e">
        <f t="shared" si="15"/>
        <v>#VALUE!</v>
      </c>
      <c r="U51" s="97" t="e">
        <f t="shared" si="10"/>
        <v>#VALUE!</v>
      </c>
      <c r="V51" s="19">
        <v>43</v>
      </c>
      <c r="W51" s="18">
        <f t="shared" si="16"/>
        <v>0</v>
      </c>
      <c r="X51" s="20">
        <f t="shared" si="17"/>
        <v>0</v>
      </c>
      <c r="Y51" s="18">
        <f t="shared" si="5"/>
        <v>0</v>
      </c>
      <c r="AA51"/>
      <c r="AB51"/>
      <c r="AC51"/>
    </row>
    <row r="52" spans="10:29" ht="20.25" customHeight="1" x14ac:dyDescent="0.35">
      <c r="J52" s="185" t="str">
        <f t="shared" si="18"/>
        <v/>
      </c>
      <c r="K52" s="276" t="str">
        <f t="shared" si="9"/>
        <v/>
      </c>
      <c r="L52" s="277"/>
      <c r="M52" s="275" t="str">
        <f t="shared" si="19"/>
        <v/>
      </c>
      <c r="N52" s="275"/>
      <c r="O52" s="275"/>
      <c r="Q52" s="97" t="b">
        <f t="shared" si="13"/>
        <v>0</v>
      </c>
      <c r="R52" s="97" t="b">
        <f t="shared" si="14"/>
        <v>1</v>
      </c>
      <c r="S52" s="97" t="b">
        <f t="shared" si="8"/>
        <v>0</v>
      </c>
      <c r="T52" s="97" t="e">
        <f t="shared" si="15"/>
        <v>#VALUE!</v>
      </c>
      <c r="U52" s="97" t="e">
        <f t="shared" si="10"/>
        <v>#VALUE!</v>
      </c>
      <c r="V52" s="19">
        <v>44</v>
      </c>
      <c r="W52" s="18">
        <f t="shared" si="16"/>
        <v>0</v>
      </c>
      <c r="X52" s="20">
        <f t="shared" si="17"/>
        <v>0</v>
      </c>
      <c r="Y52" s="18">
        <f t="shared" si="5"/>
        <v>0</v>
      </c>
      <c r="AA52"/>
      <c r="AB52"/>
      <c r="AC52"/>
    </row>
    <row r="53" spans="10:29" ht="20.25" customHeight="1" x14ac:dyDescent="0.35">
      <c r="J53" s="185" t="str">
        <f t="shared" si="18"/>
        <v/>
      </c>
      <c r="K53" s="276" t="str">
        <f t="shared" si="9"/>
        <v/>
      </c>
      <c r="L53" s="277"/>
      <c r="M53" s="275" t="str">
        <f t="shared" si="19"/>
        <v/>
      </c>
      <c r="N53" s="275"/>
      <c r="O53" s="275"/>
      <c r="Q53" s="97" t="b">
        <f t="shared" si="13"/>
        <v>0</v>
      </c>
      <c r="R53" s="97" t="b">
        <f t="shared" si="14"/>
        <v>1</v>
      </c>
      <c r="S53" s="97" t="b">
        <f t="shared" si="8"/>
        <v>0</v>
      </c>
      <c r="T53" s="97" t="e">
        <f t="shared" si="15"/>
        <v>#VALUE!</v>
      </c>
      <c r="U53" s="97" t="e">
        <f t="shared" si="10"/>
        <v>#VALUE!</v>
      </c>
      <c r="V53" s="19">
        <v>45</v>
      </c>
      <c r="W53" s="18">
        <f t="shared" si="16"/>
        <v>0</v>
      </c>
      <c r="X53" s="20">
        <f t="shared" si="17"/>
        <v>0</v>
      </c>
      <c r="Y53" s="18">
        <f t="shared" si="5"/>
        <v>0</v>
      </c>
      <c r="AA53"/>
      <c r="AB53"/>
      <c r="AC53"/>
    </row>
    <row r="54" spans="10:29" ht="20.25" customHeight="1" x14ac:dyDescent="0.35">
      <c r="J54" s="185" t="str">
        <f t="shared" si="18"/>
        <v/>
      </c>
      <c r="K54" s="276" t="str">
        <f t="shared" si="9"/>
        <v/>
      </c>
      <c r="L54" s="277"/>
      <c r="M54" s="275" t="str">
        <f t="shared" si="19"/>
        <v/>
      </c>
      <c r="N54" s="275"/>
      <c r="O54" s="275"/>
      <c r="Q54" s="97" t="b">
        <f t="shared" si="13"/>
        <v>0</v>
      </c>
      <c r="R54" s="97" t="b">
        <f t="shared" si="14"/>
        <v>1</v>
      </c>
      <c r="S54" s="97" t="b">
        <f t="shared" si="8"/>
        <v>0</v>
      </c>
      <c r="T54" s="97" t="e">
        <f t="shared" si="15"/>
        <v>#VALUE!</v>
      </c>
      <c r="U54" s="97" t="e">
        <f t="shared" si="10"/>
        <v>#VALUE!</v>
      </c>
      <c r="V54" s="19">
        <v>46</v>
      </c>
      <c r="W54" s="18">
        <f t="shared" si="16"/>
        <v>0</v>
      </c>
      <c r="X54" s="20">
        <f t="shared" si="17"/>
        <v>0</v>
      </c>
      <c r="Y54" s="18">
        <f t="shared" si="5"/>
        <v>0</v>
      </c>
      <c r="AA54"/>
      <c r="AB54"/>
      <c r="AC54"/>
    </row>
    <row r="55" spans="10:29" ht="20.25" customHeight="1" x14ac:dyDescent="0.35">
      <c r="J55" s="185" t="str">
        <f t="shared" si="18"/>
        <v/>
      </c>
      <c r="K55" s="276" t="str">
        <f t="shared" si="9"/>
        <v/>
      </c>
      <c r="L55" s="277"/>
      <c r="M55" s="275" t="str">
        <f t="shared" si="19"/>
        <v/>
      </c>
      <c r="N55" s="275"/>
      <c r="O55" s="275"/>
      <c r="Q55" s="97" t="b">
        <f t="shared" si="13"/>
        <v>0</v>
      </c>
      <c r="R55" s="97" t="b">
        <f t="shared" si="14"/>
        <v>1</v>
      </c>
      <c r="S55" s="97" t="b">
        <f t="shared" si="8"/>
        <v>0</v>
      </c>
      <c r="T55" s="97" t="e">
        <f t="shared" si="15"/>
        <v>#VALUE!</v>
      </c>
      <c r="U55" s="97" t="e">
        <f t="shared" si="10"/>
        <v>#VALUE!</v>
      </c>
      <c r="V55" s="19">
        <v>47</v>
      </c>
      <c r="W55" s="18">
        <f t="shared" si="16"/>
        <v>0</v>
      </c>
      <c r="X55" s="20">
        <f t="shared" si="17"/>
        <v>0</v>
      </c>
      <c r="Y55" s="18">
        <f t="shared" si="5"/>
        <v>0</v>
      </c>
      <c r="AA55"/>
      <c r="AB55"/>
      <c r="AC55"/>
    </row>
    <row r="56" spans="10:29" ht="20.25" customHeight="1" x14ac:dyDescent="0.35">
      <c r="J56" s="185" t="str">
        <f t="shared" si="18"/>
        <v/>
      </c>
      <c r="K56" s="276" t="str">
        <f t="shared" si="9"/>
        <v/>
      </c>
      <c r="L56" s="277"/>
      <c r="M56" s="275" t="str">
        <f t="shared" si="19"/>
        <v/>
      </c>
      <c r="N56" s="275"/>
      <c r="O56" s="275"/>
      <c r="Q56" s="97" t="b">
        <f t="shared" si="13"/>
        <v>0</v>
      </c>
      <c r="R56" s="97" t="b">
        <f t="shared" si="14"/>
        <v>1</v>
      </c>
      <c r="S56" s="97" t="b">
        <f t="shared" si="8"/>
        <v>0</v>
      </c>
      <c r="T56" s="97" t="e">
        <f t="shared" si="15"/>
        <v>#VALUE!</v>
      </c>
      <c r="U56" s="97" t="e">
        <f t="shared" si="10"/>
        <v>#VALUE!</v>
      </c>
      <c r="V56" s="19">
        <v>48</v>
      </c>
      <c r="W56" s="18">
        <f t="shared" si="16"/>
        <v>0</v>
      </c>
      <c r="X56" s="20">
        <f t="shared" si="17"/>
        <v>0</v>
      </c>
      <c r="Y56" s="18">
        <f t="shared" si="5"/>
        <v>0</v>
      </c>
      <c r="AA56"/>
      <c r="AB56"/>
      <c r="AC56"/>
    </row>
    <row r="57" spans="10:29" ht="20.25" customHeight="1" x14ac:dyDescent="0.35">
      <c r="J57" s="185" t="str">
        <f t="shared" si="18"/>
        <v/>
      </c>
      <c r="K57" s="276" t="str">
        <f t="shared" si="9"/>
        <v/>
      </c>
      <c r="L57" s="277"/>
      <c r="M57" s="275" t="str">
        <f t="shared" si="19"/>
        <v/>
      </c>
      <c r="N57" s="275"/>
      <c r="O57" s="275"/>
      <c r="Q57" s="97" t="b">
        <f t="shared" si="13"/>
        <v>0</v>
      </c>
      <c r="R57" s="97" t="b">
        <f t="shared" si="14"/>
        <v>1</v>
      </c>
      <c r="S57" s="97" t="b">
        <f t="shared" si="8"/>
        <v>0</v>
      </c>
      <c r="T57" s="97" t="e">
        <f t="shared" si="15"/>
        <v>#VALUE!</v>
      </c>
      <c r="U57" s="97" t="e">
        <f t="shared" si="10"/>
        <v>#VALUE!</v>
      </c>
      <c r="V57" s="19">
        <v>49</v>
      </c>
      <c r="W57" s="18">
        <f t="shared" si="16"/>
        <v>0</v>
      </c>
      <c r="X57" s="20">
        <f t="shared" si="17"/>
        <v>0</v>
      </c>
      <c r="Y57" s="18">
        <f t="shared" si="5"/>
        <v>0</v>
      </c>
      <c r="AA57"/>
      <c r="AB57"/>
      <c r="AC57"/>
    </row>
    <row r="58" spans="10:29" ht="20.25" customHeight="1" x14ac:dyDescent="0.35">
      <c r="J58" s="185" t="str">
        <f t="shared" si="18"/>
        <v/>
      </c>
      <c r="K58" s="276" t="str">
        <f t="shared" si="9"/>
        <v/>
      </c>
      <c r="L58" s="277"/>
      <c r="M58" s="275" t="str">
        <f t="shared" si="19"/>
        <v/>
      </c>
      <c r="N58" s="275"/>
      <c r="O58" s="275"/>
      <c r="Q58" s="97" t="b">
        <f t="shared" si="13"/>
        <v>0</v>
      </c>
      <c r="R58" s="97" t="b">
        <f t="shared" si="14"/>
        <v>1</v>
      </c>
      <c r="S58" s="97" t="b">
        <f t="shared" si="8"/>
        <v>0</v>
      </c>
      <c r="T58" s="97" t="e">
        <f t="shared" si="15"/>
        <v>#VALUE!</v>
      </c>
      <c r="U58" s="97" t="e">
        <f t="shared" si="10"/>
        <v>#VALUE!</v>
      </c>
      <c r="V58" s="19">
        <v>50</v>
      </c>
      <c r="W58" s="18">
        <f t="shared" si="16"/>
        <v>0</v>
      </c>
      <c r="X58" s="20">
        <f t="shared" si="17"/>
        <v>0</v>
      </c>
      <c r="Y58" s="18">
        <f t="shared" si="5"/>
        <v>0</v>
      </c>
      <c r="AA58"/>
      <c r="AB58"/>
      <c r="AC58"/>
    </row>
    <row r="59" spans="10:29" ht="20.25" customHeight="1" x14ac:dyDescent="0.35">
      <c r="J59" s="185" t="str">
        <f t="shared" si="18"/>
        <v/>
      </c>
      <c r="K59" s="276" t="str">
        <f t="shared" si="9"/>
        <v/>
      </c>
      <c r="L59" s="277"/>
      <c r="M59" s="275" t="str">
        <f t="shared" si="19"/>
        <v/>
      </c>
      <c r="N59" s="275"/>
      <c r="O59" s="275"/>
      <c r="Q59" s="97" t="b">
        <f t="shared" si="13"/>
        <v>0</v>
      </c>
      <c r="R59" s="97" t="b">
        <f t="shared" si="14"/>
        <v>1</v>
      </c>
      <c r="S59" s="97" t="b">
        <f t="shared" si="8"/>
        <v>0</v>
      </c>
      <c r="T59" s="97" t="e">
        <f t="shared" si="15"/>
        <v>#VALUE!</v>
      </c>
      <c r="U59" s="97" t="e">
        <f t="shared" si="10"/>
        <v>#VALUE!</v>
      </c>
    </row>
    <row r="60" spans="10:29" ht="20.25" customHeight="1" x14ac:dyDescent="0.35">
      <c r="J60" s="185" t="str">
        <f t="shared" si="18"/>
        <v/>
      </c>
      <c r="K60" s="276" t="str">
        <f t="shared" si="9"/>
        <v/>
      </c>
      <c r="L60" s="277"/>
      <c r="M60" s="275" t="str">
        <f t="shared" si="19"/>
        <v/>
      </c>
      <c r="N60" s="275"/>
      <c r="O60" s="275"/>
      <c r="Q60" s="97" t="b">
        <f t="shared" si="13"/>
        <v>0</v>
      </c>
      <c r="R60" s="97" t="b">
        <f t="shared" si="14"/>
        <v>1</v>
      </c>
      <c r="S60" s="97" t="b">
        <f t="shared" si="8"/>
        <v>0</v>
      </c>
      <c r="T60" s="97" t="e">
        <f t="shared" si="15"/>
        <v>#VALUE!</v>
      </c>
      <c r="U60" s="97" t="e">
        <f t="shared" si="10"/>
        <v>#VALUE!</v>
      </c>
    </row>
    <row r="61" spans="10:29" ht="15" customHeight="1" x14ac:dyDescent="0.35"/>
  </sheetData>
  <sheetProtection algorithmName="SHA-512" hashValue="3UkHu/oWZLHK2FF028OymytmV3LLx9rvEXO+XMzh+/0WeEW/D20pLj1/zFTL/UCpW638KqXfhg1bB/ekZG2B/Q==" saltValue="7ZtWZtiIIDURvwYYKSMEXg==" spinCount="100000" sheet="1" objects="1" scenarios="1"/>
  <mergeCells count="140">
    <mergeCell ref="J5:M6"/>
    <mergeCell ref="K23:L23"/>
    <mergeCell ref="K24:L24"/>
    <mergeCell ref="K25:L25"/>
    <mergeCell ref="D23:E23"/>
    <mergeCell ref="F23:H23"/>
    <mergeCell ref="D24:E24"/>
    <mergeCell ref="D25:E25"/>
    <mergeCell ref="F24:H24"/>
    <mergeCell ref="F25:H25"/>
    <mergeCell ref="K9:L9"/>
    <mergeCell ref="M9:O9"/>
    <mergeCell ref="K10:L10"/>
    <mergeCell ref="K11:L11"/>
    <mergeCell ref="K12:L12"/>
    <mergeCell ref="K13:L13"/>
    <mergeCell ref="K14:L14"/>
    <mergeCell ref="K15:L15"/>
    <mergeCell ref="K16:L16"/>
    <mergeCell ref="K17:L17"/>
    <mergeCell ref="K18:L18"/>
    <mergeCell ref="K19:L19"/>
    <mergeCell ref="K20:L20"/>
    <mergeCell ref="K21:L21"/>
    <mergeCell ref="A2:A3"/>
    <mergeCell ref="B2:H3"/>
    <mergeCell ref="D5:G6"/>
    <mergeCell ref="K22:L22"/>
    <mergeCell ref="G14:H14"/>
    <mergeCell ref="G15:H15"/>
    <mergeCell ref="G16:H16"/>
    <mergeCell ref="G17:H17"/>
    <mergeCell ref="B7:H8"/>
    <mergeCell ref="G9:H9"/>
    <mergeCell ref="G10:H10"/>
    <mergeCell ref="G11:H11"/>
    <mergeCell ref="G13:H13"/>
    <mergeCell ref="B10:F10"/>
    <mergeCell ref="B11:F11"/>
    <mergeCell ref="B13:F13"/>
    <mergeCell ref="B12:F12"/>
    <mergeCell ref="G12:H12"/>
    <mergeCell ref="B19:H19"/>
    <mergeCell ref="F20:H20"/>
    <mergeCell ref="D21:E21"/>
    <mergeCell ref="D22:E22"/>
    <mergeCell ref="F21:H21"/>
    <mergeCell ref="F22:H22"/>
    <mergeCell ref="D28:H28"/>
    <mergeCell ref="G18:H18"/>
    <mergeCell ref="B9:F9"/>
    <mergeCell ref="M27:O27"/>
    <mergeCell ref="M28:O28"/>
    <mergeCell ref="M29:O29"/>
    <mergeCell ref="D20:E20"/>
    <mergeCell ref="D26:E26"/>
    <mergeCell ref="F26:H26"/>
    <mergeCell ref="K26:L26"/>
    <mergeCell ref="K32:L32"/>
    <mergeCell ref="K33:L33"/>
    <mergeCell ref="K34:L34"/>
    <mergeCell ref="K35:L35"/>
    <mergeCell ref="K36:L36"/>
    <mergeCell ref="K27:L27"/>
    <mergeCell ref="K28:L28"/>
    <mergeCell ref="K29:L29"/>
    <mergeCell ref="K30:L30"/>
    <mergeCell ref="K31:L31"/>
    <mergeCell ref="K50:L50"/>
    <mergeCell ref="K51:L51"/>
    <mergeCell ref="K42:L42"/>
    <mergeCell ref="K43:L43"/>
    <mergeCell ref="K44:L44"/>
    <mergeCell ref="K45:L45"/>
    <mergeCell ref="K46:L46"/>
    <mergeCell ref="K37:L37"/>
    <mergeCell ref="K38:L38"/>
    <mergeCell ref="K39:L39"/>
    <mergeCell ref="K40:L40"/>
    <mergeCell ref="K41:L41"/>
    <mergeCell ref="K57:L57"/>
    <mergeCell ref="K58:L58"/>
    <mergeCell ref="K59:L59"/>
    <mergeCell ref="K60:L60"/>
    <mergeCell ref="M10:O10"/>
    <mergeCell ref="M11:O11"/>
    <mergeCell ref="M12:O12"/>
    <mergeCell ref="M13:O13"/>
    <mergeCell ref="M14:O14"/>
    <mergeCell ref="M15:O15"/>
    <mergeCell ref="M16:O16"/>
    <mergeCell ref="M17:O17"/>
    <mergeCell ref="M18:O18"/>
    <mergeCell ref="M19:O19"/>
    <mergeCell ref="M20:O20"/>
    <mergeCell ref="M21:O21"/>
    <mergeCell ref="K52:L52"/>
    <mergeCell ref="K53:L53"/>
    <mergeCell ref="K54:L54"/>
    <mergeCell ref="K55:L55"/>
    <mergeCell ref="K56:L56"/>
    <mergeCell ref="K47:L47"/>
    <mergeCell ref="K48:L48"/>
    <mergeCell ref="K49:L49"/>
    <mergeCell ref="M30:O30"/>
    <mergeCell ref="M31:O31"/>
    <mergeCell ref="M22:O22"/>
    <mergeCell ref="M23:O23"/>
    <mergeCell ref="M24:O24"/>
    <mergeCell ref="M25:O25"/>
    <mergeCell ref="M26:O26"/>
    <mergeCell ref="M58:O58"/>
    <mergeCell ref="M59:O59"/>
    <mergeCell ref="M42:O42"/>
    <mergeCell ref="M43:O43"/>
    <mergeCell ref="M44:O44"/>
    <mergeCell ref="M45:O45"/>
    <mergeCell ref="M46:O46"/>
    <mergeCell ref="M37:O37"/>
    <mergeCell ref="M38:O38"/>
    <mergeCell ref="M39:O39"/>
    <mergeCell ref="M40:O40"/>
    <mergeCell ref="M41:O41"/>
    <mergeCell ref="M32:O32"/>
    <mergeCell ref="M33:O33"/>
    <mergeCell ref="M34:O34"/>
    <mergeCell ref="M35:O35"/>
    <mergeCell ref="M36:O36"/>
    <mergeCell ref="M60:O60"/>
    <mergeCell ref="M52:O52"/>
    <mergeCell ref="M53:O53"/>
    <mergeCell ref="M54:O54"/>
    <mergeCell ref="M55:O55"/>
    <mergeCell ref="M56:O56"/>
    <mergeCell ref="M47:O47"/>
    <mergeCell ref="M48:O48"/>
    <mergeCell ref="M49:O49"/>
    <mergeCell ref="M50:O50"/>
    <mergeCell ref="M51:O51"/>
    <mergeCell ref="M57:O57"/>
  </mergeCells>
  <conditionalFormatting sqref="J10:O60">
    <cfRule type="expression" dxfId="19" priority="1">
      <formula>$S10="WHITE"</formula>
    </cfRule>
    <cfRule type="expression" dxfId="18" priority="2">
      <formula>$S10="ORANGE"</formula>
    </cfRule>
  </conditionalFormatting>
  <dataValidations count="2">
    <dataValidation type="whole" operator="lessThanOrEqual" allowBlank="1" showInputMessage="1" showErrorMessage="1" errorTitle="ERROR!!" error="No. of years cannot be more than 50!" sqref="G14" xr:uid="{9D9A05F5-46A4-45ED-AFD7-DF3EDC15B9E3}">
      <formula1>50</formula1>
    </dataValidation>
    <dataValidation type="list" allowBlank="1" showInputMessage="1" showErrorMessage="1" sqref="G13" xr:uid="{E063153C-F612-41C6-BF4B-3AA5DE13C153}">
      <formula1>"Percentage, Amount"</formula1>
    </dataValidation>
  </dataValidations>
  <hyperlinks>
    <hyperlink ref="A2:A3" location="'Main Menu'!A1" tooltip="HOME" display="BACK" xr:uid="{9268BFC4-F722-4B55-B52E-699BCDF47E39}"/>
    <hyperlink ref="J5:M6" location="'1 (2)'!A1" tooltip="Reqd Investment" display="Required Investment to Make" xr:uid="{2E4A7467-5F5D-43EE-B6A7-B53F68B32BC2}"/>
  </hyperlinks>
  <printOptions horizontalCentered="1"/>
  <pageMargins left="0.23622047244094491" right="0.23622047244094491" top="0.23622047244094491" bottom="0.23622047244094491"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23D54-29FF-4BAE-846F-B112E2395C9E}">
  <dimension ref="A1:V61"/>
  <sheetViews>
    <sheetView showGridLines="0" zoomScaleNormal="100" workbookViewId="0">
      <selection activeCell="G9" sqref="G9:H9"/>
    </sheetView>
  </sheetViews>
  <sheetFormatPr defaultColWidth="0" defaultRowHeight="15" customHeight="1" zeroHeight="1" x14ac:dyDescent="0.35"/>
  <cols>
    <col min="1" max="15" width="9.1796875" style="6" customWidth="1"/>
    <col min="16" max="16" width="1.1796875" customWidth="1"/>
    <col min="17" max="20" width="9.1796875" style="6" hidden="1" customWidth="1"/>
    <col min="21" max="21" width="15.81640625" style="6" hidden="1" customWidth="1"/>
    <col min="22" max="22" width="19" style="6" hidden="1" customWidth="1"/>
    <col min="23" max="16384" width="9.1796875" style="6" hidden="1"/>
  </cols>
  <sheetData>
    <row r="1" spans="1:22" ht="14.5" x14ac:dyDescent="0.35">
      <c r="Q1"/>
      <c r="R1"/>
      <c r="S1"/>
    </row>
    <row r="2" spans="1:22" ht="14.5" customHeight="1" x14ac:dyDescent="0.35">
      <c r="A2" s="289" t="s">
        <v>5</v>
      </c>
      <c r="B2" s="290" t="s">
        <v>272</v>
      </c>
      <c r="C2" s="290"/>
      <c r="D2" s="290"/>
      <c r="E2" s="290"/>
      <c r="F2" s="290"/>
      <c r="G2" s="290"/>
      <c r="H2" s="290"/>
      <c r="N2"/>
      <c r="O2"/>
      <c r="Q2"/>
      <c r="R2"/>
      <c r="S2"/>
    </row>
    <row r="3" spans="1:22" ht="14.5" customHeight="1" x14ac:dyDescent="0.35">
      <c r="A3" s="289"/>
      <c r="B3" s="291"/>
      <c r="C3" s="291"/>
      <c r="D3" s="291"/>
      <c r="E3" s="291"/>
      <c r="F3" s="291"/>
      <c r="G3" s="291"/>
      <c r="H3" s="291"/>
      <c r="N3"/>
      <c r="O3"/>
      <c r="Q3"/>
      <c r="R3"/>
      <c r="S3"/>
    </row>
    <row r="4" spans="1:22" ht="14.5" x14ac:dyDescent="0.35">
      <c r="Q4"/>
      <c r="R4"/>
      <c r="S4"/>
    </row>
    <row r="5" spans="1:22" ht="18.649999999999999" customHeight="1" x14ac:dyDescent="0.35">
      <c r="D5" s="306" t="s">
        <v>274</v>
      </c>
      <c r="E5" s="306"/>
      <c r="F5" s="306"/>
      <c r="G5" s="306"/>
      <c r="J5" s="292" t="s">
        <v>275</v>
      </c>
      <c r="K5" s="292"/>
      <c r="L5" s="292"/>
      <c r="M5" s="292"/>
      <c r="Q5"/>
      <c r="R5"/>
      <c r="S5"/>
    </row>
    <row r="6" spans="1:22" ht="18.649999999999999" customHeight="1" x14ac:dyDescent="0.35">
      <c r="D6" s="306"/>
      <c r="E6" s="306"/>
      <c r="F6" s="306"/>
      <c r="G6" s="306"/>
      <c r="J6" s="292"/>
      <c r="K6" s="292"/>
      <c r="L6" s="292"/>
      <c r="M6" s="292"/>
      <c r="Q6"/>
      <c r="R6"/>
      <c r="S6"/>
    </row>
    <row r="7" spans="1:22" ht="20.149999999999999" customHeight="1" x14ac:dyDescent="0.35">
      <c r="B7" s="295" t="s">
        <v>268</v>
      </c>
      <c r="C7" s="295"/>
      <c r="D7" s="295"/>
      <c r="E7" s="295"/>
      <c r="F7" s="295"/>
      <c r="G7" s="295"/>
      <c r="N7"/>
      <c r="O7"/>
      <c r="Q7"/>
      <c r="R7"/>
      <c r="S7"/>
    </row>
    <row r="8" spans="1:22" ht="20.149999999999999" customHeight="1" x14ac:dyDescent="0.35">
      <c r="B8" s="296"/>
      <c r="C8" s="296"/>
      <c r="D8" s="296"/>
      <c r="E8" s="296"/>
      <c r="F8" s="296"/>
      <c r="G8" s="296"/>
      <c r="N8"/>
      <c r="O8"/>
      <c r="Q8"/>
      <c r="R8"/>
      <c r="S8"/>
      <c r="T8" s="17" t="s">
        <v>9</v>
      </c>
      <c r="U8" s="17" t="s">
        <v>18</v>
      </c>
      <c r="V8" s="17" t="s">
        <v>11</v>
      </c>
    </row>
    <row r="9" spans="1:22" ht="20.149999999999999" customHeight="1" x14ac:dyDescent="0.35">
      <c r="B9" s="7" t="s">
        <v>267</v>
      </c>
      <c r="C9" s="29"/>
      <c r="D9" s="29"/>
      <c r="E9" s="29"/>
      <c r="F9" s="29"/>
      <c r="G9" s="293">
        <v>20</v>
      </c>
      <c r="H9" s="294"/>
      <c r="J9" s="174" t="s">
        <v>22</v>
      </c>
      <c r="K9" s="315" t="s">
        <v>23</v>
      </c>
      <c r="L9" s="315"/>
      <c r="M9" s="315" t="s">
        <v>299</v>
      </c>
      <c r="N9" s="315"/>
      <c r="O9" s="316"/>
      <c r="Q9"/>
      <c r="R9"/>
      <c r="S9"/>
      <c r="T9" s="50">
        <v>1</v>
      </c>
      <c r="U9" s="51">
        <v>100</v>
      </c>
      <c r="V9" s="51">
        <f>FV((1+$G$12)^(1/12)-1,12,-U9,,1)</f>
        <v>1276.6497908353235</v>
      </c>
    </row>
    <row r="10" spans="1:22" ht="20.149999999999999" customHeight="1" x14ac:dyDescent="0.35">
      <c r="B10" s="7" t="s">
        <v>17</v>
      </c>
      <c r="C10" s="29"/>
      <c r="D10" s="29"/>
      <c r="E10" s="29"/>
      <c r="F10" s="29"/>
      <c r="G10" s="293">
        <v>1000000</v>
      </c>
      <c r="H10" s="294"/>
      <c r="J10" s="185">
        <v>1</v>
      </c>
      <c r="K10" s="317">
        <f>G20</f>
        <v>3811.4821792944908</v>
      </c>
      <c r="L10" s="318"/>
      <c r="M10" s="321">
        <f t="shared" ref="M10" si="0">FV((1+$G$12)^(1/12)-1,12,-K10,IF(ISNUMBER(M9),-M9,0),1)</f>
        <v>48659.279269688748</v>
      </c>
      <c r="N10" s="321"/>
      <c r="O10" s="321"/>
      <c r="Q10" t="b">
        <f t="shared" ref="Q10:Q41" si="1">J10&lt;=$G$19</f>
        <v>1</v>
      </c>
      <c r="R10" s="97" t="b">
        <f t="shared" ref="R10:R41" si="2">J10=""</f>
        <v>0</v>
      </c>
      <c r="S10" s="97" t="str">
        <f>IF(R10=FALSE,IF(MOD(ROW(),2)=0,"WHITE","ORANGE"))</f>
        <v>WHITE</v>
      </c>
      <c r="T10" s="50">
        <v>2</v>
      </c>
      <c r="U10" s="51">
        <f t="shared" ref="U10:U41" si="3">U9*(1+$G$18)</f>
        <v>110.00000000000001</v>
      </c>
      <c r="V10" s="51">
        <f t="shared" ref="V10:V41" si="4">FV((1+$G$12)^(1/12)-1,12,-U10,-V9,1)</f>
        <v>2834.1625356544205</v>
      </c>
    </row>
    <row r="11" spans="1:22" ht="20.149999999999999" customHeight="1" x14ac:dyDescent="0.35">
      <c r="B11" s="7" t="s">
        <v>19</v>
      </c>
      <c r="C11" s="29"/>
      <c r="D11" s="29"/>
      <c r="E11" s="29"/>
      <c r="F11" s="29"/>
      <c r="G11" s="280">
        <v>7.0000000000000007E-2</v>
      </c>
      <c r="H11" s="281"/>
      <c r="J11" s="185">
        <f>IF(J10="","",IF(J10+1&gt;$G$9,"",J10+1))</f>
        <v>2</v>
      </c>
      <c r="K11" s="319">
        <f t="shared" ref="K11:K42" si="5">IF(J11="","",IF(Q11,K10*(1+$G$18),0))</f>
        <v>4192.6303972239402</v>
      </c>
      <c r="L11" s="319"/>
      <c r="M11" s="320">
        <f t="shared" ref="M11" si="6">IF(J11="","",FV((1+$G$12)^(1/12)-1,12,-K11,IF(ISNUMBER(M10),-M10,0),1))</f>
        <v>108023.5999787091</v>
      </c>
      <c r="N11" s="320"/>
      <c r="O11" s="320"/>
      <c r="Q11" t="b">
        <f t="shared" si="1"/>
        <v>1</v>
      </c>
      <c r="R11" s="97" t="b">
        <f t="shared" si="2"/>
        <v>0</v>
      </c>
      <c r="S11" s="97" t="str">
        <f t="shared" ref="S11:S60" si="7">IF(R11=FALSE,IF(MOD(ROW(),2)=0,"WHITE","ORANGE"))</f>
        <v>ORANGE</v>
      </c>
      <c r="T11" s="50">
        <v>3</v>
      </c>
      <c r="U11" s="51">
        <f t="shared" si="3"/>
        <v>121.00000000000003</v>
      </c>
      <c r="V11" s="51">
        <f t="shared" si="4"/>
        <v>4719.0082868436966</v>
      </c>
    </row>
    <row r="12" spans="1:22" ht="20.149999999999999" customHeight="1" x14ac:dyDescent="0.35">
      <c r="B12" s="7" t="s">
        <v>20</v>
      </c>
      <c r="C12" s="29"/>
      <c r="D12" s="29"/>
      <c r="E12" s="29"/>
      <c r="F12" s="29"/>
      <c r="G12" s="280">
        <v>0.12</v>
      </c>
      <c r="H12" s="281"/>
      <c r="J12" s="185">
        <f t="shared" ref="J12:J60" si="8">IF(J11="","",IF(J11+1&gt;$G$9,"",J11+1))</f>
        <v>3</v>
      </c>
      <c r="K12" s="319">
        <f t="shared" si="5"/>
        <v>4611.893436946335</v>
      </c>
      <c r="L12" s="319"/>
      <c r="M12" s="320">
        <f t="shared" ref="M12:M50" si="9">IF(J12="","",FV((1+$G$12)^(1/12)-1,12,-K12,IF(ISNUMBER(M11),-M11,0),1))</f>
        <v>179864.15989247774</v>
      </c>
      <c r="N12" s="320"/>
      <c r="O12" s="320"/>
      <c r="Q12" t="b">
        <f t="shared" si="1"/>
        <v>1</v>
      </c>
      <c r="R12" s="97" t="b">
        <f t="shared" si="2"/>
        <v>0</v>
      </c>
      <c r="S12" s="97" t="str">
        <f t="shared" si="7"/>
        <v>WHITE</v>
      </c>
      <c r="T12" s="50">
        <v>4</v>
      </c>
      <c r="U12" s="51">
        <f t="shared" si="3"/>
        <v>133.10000000000005</v>
      </c>
      <c r="V12" s="51">
        <f t="shared" si="4"/>
        <v>6984.5101528667637</v>
      </c>
    </row>
    <row r="13" spans="1:22" ht="20.149999999999999" customHeight="1" x14ac:dyDescent="0.35">
      <c r="B13" s="7" t="s">
        <v>303</v>
      </c>
      <c r="C13" s="8"/>
      <c r="D13" s="8"/>
      <c r="E13" s="8"/>
      <c r="F13" s="29"/>
      <c r="G13" s="293">
        <v>0</v>
      </c>
      <c r="H13" s="294"/>
      <c r="J13" s="185">
        <f t="shared" si="8"/>
        <v>4</v>
      </c>
      <c r="K13" s="319">
        <f t="shared" si="5"/>
        <v>5073.0827806409688</v>
      </c>
      <c r="L13" s="319"/>
      <c r="M13" s="320">
        <f t="shared" si="9"/>
        <v>266213.35978753108</v>
      </c>
      <c r="N13" s="320"/>
      <c r="O13" s="320"/>
      <c r="Q13" t="b">
        <f t="shared" si="1"/>
        <v>1</v>
      </c>
      <c r="R13" s="97" t="b">
        <f t="shared" si="2"/>
        <v>0</v>
      </c>
      <c r="S13" s="97" t="str">
        <f t="shared" si="7"/>
        <v>ORANGE</v>
      </c>
      <c r="T13" s="50">
        <v>5</v>
      </c>
      <c r="U13" s="51">
        <f t="shared" si="3"/>
        <v>146.41000000000008</v>
      </c>
      <c r="V13" s="51">
        <f t="shared" si="4"/>
        <v>9691.7943299727831</v>
      </c>
    </row>
    <row r="14" spans="1:22" ht="20.149999999999999" customHeight="1" x14ac:dyDescent="0.35">
      <c r="B14" s="7" t="s">
        <v>304</v>
      </c>
      <c r="C14" s="8"/>
      <c r="D14" s="8"/>
      <c r="E14" s="8"/>
      <c r="F14" s="29"/>
      <c r="G14" s="326">
        <v>0.1</v>
      </c>
      <c r="H14" s="327"/>
      <c r="J14" s="185">
        <f t="shared" si="8"/>
        <v>5</v>
      </c>
      <c r="K14" s="319">
        <f t="shared" si="5"/>
        <v>5580.3910587050659</v>
      </c>
      <c r="L14" s="319"/>
      <c r="M14" s="320">
        <f t="shared" si="9"/>
        <v>369401.01374078653</v>
      </c>
      <c r="N14" s="320"/>
      <c r="O14" s="320"/>
      <c r="Q14" t="b">
        <f t="shared" si="1"/>
        <v>1</v>
      </c>
      <c r="R14" s="97" t="b">
        <f t="shared" si="2"/>
        <v>0</v>
      </c>
      <c r="S14" s="97" t="str">
        <f t="shared" si="7"/>
        <v>WHITE</v>
      </c>
      <c r="T14" s="50">
        <v>6</v>
      </c>
      <c r="U14" s="51">
        <f t="shared" si="3"/>
        <v>161.0510000000001</v>
      </c>
      <c r="V14" s="51">
        <f t="shared" si="4"/>
        <v>12910.866904207731</v>
      </c>
    </row>
    <row r="15" spans="1:22" ht="20.149999999999999" customHeight="1" x14ac:dyDescent="0.35">
      <c r="B15" s="135" t="s">
        <v>21</v>
      </c>
      <c r="C15" s="186"/>
      <c r="D15" s="186"/>
      <c r="E15" s="186"/>
      <c r="F15" s="29"/>
      <c r="G15" s="323">
        <f>FV(G11,G9,,-G10)</f>
        <v>3869684.4624861795</v>
      </c>
      <c r="H15" s="324"/>
      <c r="J15" s="185">
        <f t="shared" si="8"/>
        <v>6</v>
      </c>
      <c r="K15" s="319">
        <f t="shared" si="5"/>
        <v>6138.4301645755731</v>
      </c>
      <c r="L15" s="319"/>
      <c r="M15" s="320">
        <f t="shared" si="9"/>
        <v>492095.39124630787</v>
      </c>
      <c r="N15" s="320"/>
      <c r="O15" s="320"/>
      <c r="Q15" t="b">
        <f t="shared" si="1"/>
        <v>1</v>
      </c>
      <c r="R15" s="97" t="b">
        <f t="shared" si="2"/>
        <v>0</v>
      </c>
      <c r="S15" s="97" t="str">
        <f t="shared" si="7"/>
        <v>ORANGE</v>
      </c>
      <c r="T15" s="50">
        <v>7</v>
      </c>
      <c r="U15" s="51">
        <f t="shared" si="3"/>
        <v>177.15610000000012</v>
      </c>
      <c r="V15" s="51">
        <f t="shared" si="4"/>
        <v>16721.833912814694</v>
      </c>
    </row>
    <row r="16" spans="1:22" ht="20.149999999999999" customHeight="1" x14ac:dyDescent="0.35">
      <c r="B16" s="111"/>
      <c r="C16" s="111"/>
      <c r="D16" s="111"/>
      <c r="E16" s="111"/>
      <c r="F16" s="29"/>
      <c r="G16" s="328"/>
      <c r="H16" s="328"/>
      <c r="J16" s="185">
        <f t="shared" si="8"/>
        <v>7</v>
      </c>
      <c r="K16" s="319">
        <f t="shared" si="5"/>
        <v>6752.2731810331306</v>
      </c>
      <c r="L16" s="319"/>
      <c r="M16" s="320">
        <f t="shared" si="9"/>
        <v>637349.71963815461</v>
      </c>
      <c r="N16" s="320"/>
      <c r="O16" s="320"/>
      <c r="Q16" t="b">
        <f t="shared" si="1"/>
        <v>1</v>
      </c>
      <c r="R16" s="97" t="b">
        <f t="shared" si="2"/>
        <v>0</v>
      </c>
      <c r="S16" s="97" t="str">
        <f t="shared" si="7"/>
        <v>WHITE</v>
      </c>
      <c r="T16" s="50">
        <v>8</v>
      </c>
      <c r="U16" s="51">
        <f t="shared" si="3"/>
        <v>194.87171000000015</v>
      </c>
      <c r="V16" s="51">
        <f t="shared" si="4"/>
        <v>21216.283260464705</v>
      </c>
    </row>
    <row r="17" spans="2:22" ht="20.149999999999999" customHeight="1" x14ac:dyDescent="0.35">
      <c r="B17" s="142" t="s">
        <v>150</v>
      </c>
      <c r="C17" s="29"/>
      <c r="D17" s="29"/>
      <c r="E17" s="29"/>
      <c r="F17" s="29"/>
      <c r="G17" s="323">
        <f>-PV(G12,G9,,G15-FV(G14,G9,,-G13),)</f>
        <v>401157.67010894435</v>
      </c>
      <c r="H17" s="324"/>
      <c r="J17" s="185">
        <f t="shared" si="8"/>
        <v>8</v>
      </c>
      <c r="K17" s="319">
        <f t="shared" si="5"/>
        <v>7427.500499136444</v>
      </c>
      <c r="L17" s="319"/>
      <c r="M17" s="320">
        <f t="shared" si="9"/>
        <v>808654.85558125214</v>
      </c>
      <c r="N17" s="320"/>
      <c r="O17" s="320"/>
      <c r="Q17" t="b">
        <f t="shared" si="1"/>
        <v>1</v>
      </c>
      <c r="R17" s="97" t="b">
        <f t="shared" si="2"/>
        <v>0</v>
      </c>
      <c r="S17" s="97" t="str">
        <f t="shared" si="7"/>
        <v>ORANGE</v>
      </c>
      <c r="T17" s="50">
        <v>9</v>
      </c>
      <c r="U17" s="51">
        <f t="shared" si="3"/>
        <v>214.3588810000002</v>
      </c>
      <c r="V17" s="51">
        <f t="shared" si="4"/>
        <v>26498.849457643944</v>
      </c>
    </row>
    <row r="18" spans="2:22" ht="20.149999999999999" customHeight="1" x14ac:dyDescent="0.35">
      <c r="B18" s="7" t="s">
        <v>295</v>
      </c>
      <c r="C18" s="29"/>
      <c r="D18" s="29"/>
      <c r="E18" s="29"/>
      <c r="F18" s="29"/>
      <c r="G18" s="280">
        <v>0.1</v>
      </c>
      <c r="H18" s="281"/>
      <c r="J18" s="185">
        <f t="shared" si="8"/>
        <v>9</v>
      </c>
      <c r="K18" s="319">
        <f t="shared" si="5"/>
        <v>8170.2505490500889</v>
      </c>
      <c r="L18" s="319"/>
      <c r="M18" s="320">
        <f t="shared" si="9"/>
        <v>1009998.9247961733</v>
      </c>
      <c r="N18" s="320"/>
      <c r="O18" s="320"/>
      <c r="Q18" t="b">
        <f t="shared" si="1"/>
        <v>1</v>
      </c>
      <c r="R18" s="97" t="b">
        <f t="shared" si="2"/>
        <v>0</v>
      </c>
      <c r="S18" s="97" t="str">
        <f t="shared" si="7"/>
        <v>WHITE</v>
      </c>
      <c r="T18" s="50">
        <v>10</v>
      </c>
      <c r="U18" s="51">
        <f t="shared" si="3"/>
        <v>235.79476910000022</v>
      </c>
      <c r="V18" s="51">
        <f t="shared" si="4"/>
        <v>32688.984819077043</v>
      </c>
    </row>
    <row r="19" spans="2:22" s="9" customFormat="1" ht="20.149999999999999" customHeight="1" x14ac:dyDescent="0.35">
      <c r="B19" s="7" t="s">
        <v>270</v>
      </c>
      <c r="C19" s="29"/>
      <c r="D19" s="29"/>
      <c r="E19" s="29"/>
      <c r="F19" s="8"/>
      <c r="G19" s="293">
        <v>10</v>
      </c>
      <c r="H19" s="294"/>
      <c r="I19"/>
      <c r="J19" s="185">
        <f t="shared" si="8"/>
        <v>10</v>
      </c>
      <c r="K19" s="319">
        <f t="shared" si="5"/>
        <v>8987.2756039550986</v>
      </c>
      <c r="L19" s="319"/>
      <c r="M19" s="320">
        <f t="shared" si="9"/>
        <v>1245934.8309714026</v>
      </c>
      <c r="N19" s="320"/>
      <c r="O19" s="320"/>
      <c r="P19"/>
      <c r="Q19" t="b">
        <f t="shared" si="1"/>
        <v>1</v>
      </c>
      <c r="R19" s="97" t="b">
        <f t="shared" si="2"/>
        <v>0</v>
      </c>
      <c r="S19" s="97" t="str">
        <f t="shared" si="7"/>
        <v>ORANGE</v>
      </c>
      <c r="T19" s="50">
        <v>11</v>
      </c>
      <c r="U19" s="51">
        <f t="shared" si="3"/>
        <v>259.37424601000026</v>
      </c>
      <c r="V19" s="51">
        <f t="shared" si="4"/>
        <v>39922.9637665337</v>
      </c>
    </row>
    <row r="20" spans="2:22" s="9" customFormat="1" ht="20.149999999999999" customHeight="1" x14ac:dyDescent="0.35">
      <c r="B20" s="142" t="s">
        <v>149</v>
      </c>
      <c r="C20" s="29"/>
      <c r="D20" s="29"/>
      <c r="E20" s="29"/>
      <c r="F20" s="8"/>
      <c r="G20" s="323">
        <f>IF(G19&gt;G9, 0, IF(OR(ISBLANK(G19),G19=0),(100/VLOOKUP(G9,T9:V58,3,0))*(G15-FV(G14,G9,,-G13)), (100/VLOOKUP(G19,T9:V58,3,0))*-PV(G12,G9-G19,,(G15-FV(G14,G9,,-G13)),)))</f>
        <v>3811.4821792944908</v>
      </c>
      <c r="H20" s="324"/>
      <c r="J20" s="185">
        <f t="shared" si="8"/>
        <v>11</v>
      </c>
      <c r="K20" s="319">
        <f t="shared" si="5"/>
        <v>0</v>
      </c>
      <c r="L20" s="319"/>
      <c r="M20" s="320">
        <f t="shared" si="9"/>
        <v>1395447.0106879727</v>
      </c>
      <c r="N20" s="320"/>
      <c r="O20" s="320"/>
      <c r="P20"/>
      <c r="Q20" t="b">
        <f t="shared" si="1"/>
        <v>0</v>
      </c>
      <c r="R20" s="97" t="b">
        <f t="shared" si="2"/>
        <v>0</v>
      </c>
      <c r="S20" s="97" t="str">
        <f t="shared" si="7"/>
        <v>WHITE</v>
      </c>
      <c r="T20" s="50">
        <v>12</v>
      </c>
      <c r="U20" s="51">
        <f t="shared" si="3"/>
        <v>285.3116706110003</v>
      </c>
      <c r="V20" s="51">
        <f t="shared" si="4"/>
        <v>48356.150264601907</v>
      </c>
    </row>
    <row r="21" spans="2:22" s="9" customFormat="1" ht="20.149999999999999" customHeight="1" x14ac:dyDescent="0.35">
      <c r="B21" s="299" t="str">
        <f>IF(G19&gt;G9,"SIP tenure cannot be more than the goal tenure","")</f>
        <v/>
      </c>
      <c r="C21" s="299"/>
      <c r="D21" s="299"/>
      <c r="E21" s="299"/>
      <c r="F21" s="299"/>
      <c r="G21" s="299"/>
      <c r="H21" s="299"/>
      <c r="J21" s="185">
        <f t="shared" si="8"/>
        <v>12</v>
      </c>
      <c r="K21" s="319">
        <f t="shared" si="5"/>
        <v>0</v>
      </c>
      <c r="L21" s="319"/>
      <c r="M21" s="320">
        <f t="shared" si="9"/>
        <v>1562900.6519705313</v>
      </c>
      <c r="N21" s="320"/>
      <c r="O21" s="320"/>
      <c r="P21"/>
      <c r="Q21" t="b">
        <f t="shared" si="1"/>
        <v>0</v>
      </c>
      <c r="R21" s="97" t="b">
        <f t="shared" si="2"/>
        <v>0</v>
      </c>
      <c r="S21" s="97" t="str">
        <f t="shared" si="7"/>
        <v>ORANGE</v>
      </c>
      <c r="T21" s="50">
        <v>13</v>
      </c>
      <c r="U21" s="51">
        <f t="shared" si="3"/>
        <v>313.84283767210036</v>
      </c>
      <c r="V21" s="51">
        <f t="shared" si="4"/>
        <v>58165.562227046721</v>
      </c>
    </row>
    <row r="22" spans="2:22" s="9" customFormat="1" ht="20.149999999999999" customHeight="1" x14ac:dyDescent="0.35">
      <c r="J22" s="185">
        <f t="shared" si="8"/>
        <v>13</v>
      </c>
      <c r="K22" s="319">
        <f t="shared" si="5"/>
        <v>0</v>
      </c>
      <c r="L22" s="319"/>
      <c r="M22" s="320">
        <f t="shared" si="9"/>
        <v>1750448.7302069974</v>
      </c>
      <c r="N22" s="320"/>
      <c r="O22" s="320"/>
      <c r="P22"/>
      <c r="Q22" t="b">
        <f t="shared" si="1"/>
        <v>0</v>
      </c>
      <c r="R22" s="97" t="b">
        <f t="shared" si="2"/>
        <v>0</v>
      </c>
      <c r="S22" s="97" t="str">
        <f t="shared" si="7"/>
        <v>WHITE</v>
      </c>
      <c r="T22" s="50">
        <v>14</v>
      </c>
      <c r="U22" s="51">
        <f t="shared" si="3"/>
        <v>345.22712143931039</v>
      </c>
      <c r="V22" s="51">
        <f t="shared" si="4"/>
        <v>69552.771018054176</v>
      </c>
    </row>
    <row r="23" spans="2:22" s="9" customFormat="1" ht="20.149999999999999" customHeight="1" x14ac:dyDescent="0.35">
      <c r="B23" s="9" t="s">
        <v>255</v>
      </c>
      <c r="D23" s="279" t="str">
        <f>" "&amp;UPPER('Main Menu'!C29)</f>
        <v xml:space="preserve"> CLIENT NAME</v>
      </c>
      <c r="E23" s="279"/>
      <c r="F23" s="279"/>
      <c r="G23" s="279"/>
      <c r="H23" s="279"/>
      <c r="J23" s="185">
        <f t="shared" si="8"/>
        <v>14</v>
      </c>
      <c r="K23" s="319">
        <f t="shared" si="5"/>
        <v>0</v>
      </c>
      <c r="L23" s="319"/>
      <c r="M23" s="320">
        <f t="shared" si="9"/>
        <v>1960502.5778318397</v>
      </c>
      <c r="N23" s="320"/>
      <c r="O23" s="320"/>
      <c r="P23"/>
      <c r="Q23" t="b">
        <f t="shared" si="1"/>
        <v>0</v>
      </c>
      <c r="R23" s="97" t="b">
        <f t="shared" si="2"/>
        <v>0</v>
      </c>
      <c r="S23" s="97" t="str">
        <f t="shared" si="7"/>
        <v>ORANGE</v>
      </c>
      <c r="T23" s="50">
        <v>15</v>
      </c>
      <c r="U23" s="51">
        <f t="shared" si="3"/>
        <v>379.74983358324147</v>
      </c>
      <c r="V23" s="51">
        <f t="shared" si="4"/>
        <v>82747.178996358722</v>
      </c>
    </row>
    <row r="24" spans="2:22" s="9" customFormat="1" ht="20.149999999999999" customHeight="1" x14ac:dyDescent="0.35">
      <c r="B24" s="9" t="s">
        <v>256</v>
      </c>
      <c r="D24" s="325" t="str">
        <f>" "&amp;UPPER('Main Menu'!L29)</f>
        <v xml:space="preserve"> PARTNER NAME</v>
      </c>
      <c r="E24" s="325"/>
      <c r="F24" s="325"/>
      <c r="G24" s="325"/>
      <c r="H24" s="325"/>
      <c r="J24" s="185">
        <f t="shared" si="8"/>
        <v>15</v>
      </c>
      <c r="K24" s="319">
        <f t="shared" si="5"/>
        <v>0</v>
      </c>
      <c r="L24" s="319"/>
      <c r="M24" s="320">
        <f t="shared" si="9"/>
        <v>2195762.8871716633</v>
      </c>
      <c r="N24" s="320"/>
      <c r="O24" s="320"/>
      <c r="P24"/>
      <c r="Q24" t="b">
        <f t="shared" si="1"/>
        <v>0</v>
      </c>
      <c r="R24" s="97" t="b">
        <f t="shared" si="2"/>
        <v>0</v>
      </c>
      <c r="S24" s="97" t="str">
        <f t="shared" si="7"/>
        <v>WHITE</v>
      </c>
      <c r="T24" s="50">
        <v>16</v>
      </c>
      <c r="U24" s="51">
        <f t="shared" si="3"/>
        <v>417.72481694156562</v>
      </c>
      <c r="V24" s="51">
        <f t="shared" si="4"/>
        <v>98009.723477673615</v>
      </c>
    </row>
    <row r="25" spans="2:22" s="9" customFormat="1" ht="20.149999999999999" customHeight="1" x14ac:dyDescent="0.35">
      <c r="B25"/>
      <c r="C25"/>
      <c r="D25"/>
      <c r="E25"/>
      <c r="F25"/>
      <c r="G25" s="322" t="str">
        <f ca="1">"Dated: "&amp; TEXT(TODAY(),"DD-MMM-YYYY")</f>
        <v>Dated: 28-Aug-2025</v>
      </c>
      <c r="H25" s="322"/>
      <c r="J25" s="185">
        <f t="shared" si="8"/>
        <v>16</v>
      </c>
      <c r="K25" s="319">
        <f t="shared" si="5"/>
        <v>0</v>
      </c>
      <c r="L25" s="319"/>
      <c r="M25" s="320">
        <f t="shared" si="9"/>
        <v>2459254.4336322662</v>
      </c>
      <c r="N25" s="320"/>
      <c r="O25" s="320"/>
      <c r="P25"/>
      <c r="Q25" t="b">
        <f t="shared" si="1"/>
        <v>0</v>
      </c>
      <c r="R25" s="97" t="b">
        <f t="shared" si="2"/>
        <v>0</v>
      </c>
      <c r="S25" s="97" t="str">
        <f t="shared" si="7"/>
        <v>ORANGE</v>
      </c>
      <c r="T25" s="50">
        <v>17</v>
      </c>
      <c r="U25" s="51">
        <f t="shared" si="3"/>
        <v>459.49729863572225</v>
      </c>
      <c r="V25" s="51">
        <f t="shared" si="4"/>
        <v>115637.0615969215</v>
      </c>
    </row>
    <row r="26" spans="2:22" s="9" customFormat="1" ht="20.149999999999999" customHeight="1" x14ac:dyDescent="0.35">
      <c r="B26"/>
      <c r="C26"/>
      <c r="D26"/>
      <c r="E26"/>
      <c r="F26"/>
      <c r="G26"/>
      <c r="H26"/>
      <c r="J26" s="185">
        <f t="shared" si="8"/>
        <v>17</v>
      </c>
      <c r="K26" s="319">
        <f t="shared" si="5"/>
        <v>0</v>
      </c>
      <c r="L26" s="319"/>
      <c r="M26" s="320">
        <f t="shared" si="9"/>
        <v>2754364.9656681418</v>
      </c>
      <c r="N26" s="320"/>
      <c r="O26" s="320"/>
      <c r="P26"/>
      <c r="Q26" t="b">
        <f t="shared" si="1"/>
        <v>0</v>
      </c>
      <c r="R26" s="97" t="b">
        <f t="shared" si="2"/>
        <v>0</v>
      </c>
      <c r="S26" s="97" t="str">
        <f t="shared" si="7"/>
        <v>WHITE</v>
      </c>
      <c r="T26" s="50">
        <v>18</v>
      </c>
      <c r="U26" s="51">
        <f t="shared" si="3"/>
        <v>505.4470284992945</v>
      </c>
      <c r="V26" s="51">
        <f t="shared" si="4"/>
        <v>135966.29742067185</v>
      </c>
    </row>
    <row r="27" spans="2:22" s="9" customFormat="1" ht="20.149999999999999" customHeight="1" x14ac:dyDescent="0.35">
      <c r="B27"/>
      <c r="C27"/>
      <c r="D27"/>
      <c r="E27"/>
      <c r="F27"/>
      <c r="G27"/>
      <c r="H27"/>
      <c r="J27" s="185">
        <f t="shared" si="8"/>
        <v>18</v>
      </c>
      <c r="K27" s="319">
        <f t="shared" si="5"/>
        <v>0</v>
      </c>
      <c r="L27" s="319"/>
      <c r="M27" s="320">
        <f t="shared" si="9"/>
        <v>3084888.7615483226</v>
      </c>
      <c r="N27" s="320"/>
      <c r="O27" s="320"/>
      <c r="P27"/>
      <c r="Q27" t="b">
        <f t="shared" si="1"/>
        <v>0</v>
      </c>
      <c r="R27" s="97" t="b">
        <f t="shared" si="2"/>
        <v>0</v>
      </c>
      <c r="S27" s="97" t="str">
        <f t="shared" si="7"/>
        <v>ORANGE</v>
      </c>
      <c r="T27" s="50">
        <v>19</v>
      </c>
      <c r="U27" s="51">
        <f t="shared" si="3"/>
        <v>555.99173134922398</v>
      </c>
      <c r="V27" s="51">
        <f t="shared" si="4"/>
        <v>159380.32038648424</v>
      </c>
    </row>
    <row r="28" spans="2:22" s="9" customFormat="1" ht="20.149999999999999" customHeight="1" x14ac:dyDescent="0.35">
      <c r="B28"/>
      <c r="C28"/>
      <c r="D28"/>
      <c r="E28"/>
      <c r="F28"/>
      <c r="G28"/>
      <c r="H28"/>
      <c r="I28"/>
      <c r="J28" s="185">
        <f t="shared" si="8"/>
        <v>19</v>
      </c>
      <c r="K28" s="319">
        <f t="shared" si="5"/>
        <v>0</v>
      </c>
      <c r="L28" s="319"/>
      <c r="M28" s="320">
        <f t="shared" si="9"/>
        <v>3455075.4129341259</v>
      </c>
      <c r="N28" s="320"/>
      <c r="O28" s="320"/>
      <c r="P28"/>
      <c r="Q28" t="b">
        <f t="shared" si="1"/>
        <v>0</v>
      </c>
      <c r="R28" s="97" t="b">
        <f t="shared" si="2"/>
        <v>0</v>
      </c>
      <c r="S28" s="97" t="str">
        <f t="shared" si="7"/>
        <v>WHITE</v>
      </c>
      <c r="T28" s="50">
        <v>20</v>
      </c>
      <c r="U28" s="51">
        <f t="shared" si="3"/>
        <v>611.59090448414645</v>
      </c>
      <c r="V28" s="51">
        <f t="shared" si="4"/>
        <v>186313.83283572731</v>
      </c>
    </row>
    <row r="29" spans="2:22" s="9" customFormat="1" ht="20.149999999999999" customHeight="1" x14ac:dyDescent="0.35">
      <c r="B29"/>
      <c r="C29"/>
      <c r="D29"/>
      <c r="E29"/>
      <c r="F29"/>
      <c r="G29"/>
      <c r="H29"/>
      <c r="I29"/>
      <c r="J29" s="185">
        <f t="shared" si="8"/>
        <v>20</v>
      </c>
      <c r="K29" s="319">
        <f t="shared" si="5"/>
        <v>0</v>
      </c>
      <c r="L29" s="319"/>
      <c r="M29" s="320">
        <f t="shared" si="9"/>
        <v>3869684.4624862261</v>
      </c>
      <c r="N29" s="320"/>
      <c r="O29" s="320"/>
      <c r="P29"/>
      <c r="Q29" t="b">
        <f t="shared" si="1"/>
        <v>0</v>
      </c>
      <c r="R29" s="97" t="b">
        <f t="shared" si="2"/>
        <v>0</v>
      </c>
      <c r="S29" s="97" t="str">
        <f t="shared" si="7"/>
        <v>ORANGE</v>
      </c>
      <c r="T29" s="50">
        <v>21</v>
      </c>
      <c r="U29" s="51">
        <f t="shared" si="3"/>
        <v>672.74999493256109</v>
      </c>
      <c r="V29" s="51">
        <f t="shared" si="4"/>
        <v>217260.15417916607</v>
      </c>
    </row>
    <row r="30" spans="2:22" s="9" customFormat="1" ht="20.149999999999999" customHeight="1" x14ac:dyDescent="0.35">
      <c r="B30" s="102"/>
      <c r="C30" s="102"/>
      <c r="D30" s="102"/>
      <c r="E30" s="102"/>
      <c r="F30" s="102"/>
      <c r="G30" s="102"/>
      <c r="H30" s="102"/>
      <c r="J30" s="185" t="str">
        <f t="shared" si="8"/>
        <v/>
      </c>
      <c r="K30" s="319" t="str">
        <f t="shared" si="5"/>
        <v/>
      </c>
      <c r="L30" s="319"/>
      <c r="M30" s="320" t="str">
        <f t="shared" si="9"/>
        <v/>
      </c>
      <c r="N30" s="320"/>
      <c r="O30" s="320"/>
      <c r="P30"/>
      <c r="Q30" t="b">
        <f t="shared" si="1"/>
        <v>0</v>
      </c>
      <c r="R30" s="97" t="b">
        <f t="shared" si="2"/>
        <v>1</v>
      </c>
      <c r="S30" s="97" t="b">
        <f t="shared" si="7"/>
        <v>0</v>
      </c>
      <c r="T30" s="50">
        <v>22</v>
      </c>
      <c r="U30" s="51">
        <f t="shared" si="3"/>
        <v>740.02499442581723</v>
      </c>
      <c r="V30" s="51">
        <f t="shared" si="4"/>
        <v>252778.90022413261</v>
      </c>
    </row>
    <row r="31" spans="2:22" s="9" customFormat="1" ht="20.149999999999999" customHeight="1" x14ac:dyDescent="0.35">
      <c r="B31" s="6"/>
      <c r="C31" s="6"/>
      <c r="D31" s="6"/>
      <c r="E31" s="6"/>
      <c r="F31" s="6"/>
      <c r="G31" s="6"/>
      <c r="H31" s="6"/>
      <c r="I31" s="6"/>
      <c r="J31" s="185" t="str">
        <f t="shared" si="8"/>
        <v/>
      </c>
      <c r="K31" s="319" t="str">
        <f t="shared" si="5"/>
        <v/>
      </c>
      <c r="L31" s="319"/>
      <c r="M31" s="320" t="str">
        <f t="shared" si="9"/>
        <v/>
      </c>
      <c r="N31" s="320"/>
      <c r="O31" s="320"/>
      <c r="P31"/>
      <c r="Q31" t="b">
        <f t="shared" si="1"/>
        <v>0</v>
      </c>
      <c r="R31" s="97" t="b">
        <f t="shared" si="2"/>
        <v>1</v>
      </c>
      <c r="S31" s="97" t="b">
        <f t="shared" si="7"/>
        <v>0</v>
      </c>
      <c r="T31" s="50">
        <v>23</v>
      </c>
      <c r="U31" s="51">
        <f t="shared" si="3"/>
        <v>814.02749386839901</v>
      </c>
      <c r="V31" s="51">
        <f t="shared" si="4"/>
        <v>293504.64854884183</v>
      </c>
    </row>
    <row r="32" spans="2:22" s="9" customFormat="1" ht="20.149999999999999" customHeight="1" x14ac:dyDescent="0.35">
      <c r="B32" s="6"/>
      <c r="C32" s="6"/>
      <c r="D32" s="6"/>
      <c r="E32" s="6"/>
      <c r="F32" s="6"/>
      <c r="G32" s="6"/>
      <c r="H32" s="6"/>
      <c r="I32" s="102"/>
      <c r="J32" s="185" t="str">
        <f t="shared" si="8"/>
        <v/>
      </c>
      <c r="K32" s="319" t="str">
        <f t="shared" si="5"/>
        <v/>
      </c>
      <c r="L32" s="319"/>
      <c r="M32" s="320" t="str">
        <f t="shared" si="9"/>
        <v/>
      </c>
      <c r="N32" s="320"/>
      <c r="O32" s="320"/>
      <c r="P32"/>
      <c r="Q32" t="b">
        <f t="shared" si="1"/>
        <v>0</v>
      </c>
      <c r="R32" s="97" t="b">
        <f t="shared" si="2"/>
        <v>1</v>
      </c>
      <c r="S32" s="97" t="b">
        <f t="shared" si="7"/>
        <v>0</v>
      </c>
      <c r="T32" s="50">
        <v>24</v>
      </c>
      <c r="U32" s="51">
        <f t="shared" si="3"/>
        <v>895.43024325523902</v>
      </c>
      <c r="V32" s="51">
        <f t="shared" si="4"/>
        <v>340156.71470229753</v>
      </c>
    </row>
    <row r="33" spans="9:22" ht="20.25" customHeight="1" x14ac:dyDescent="0.35">
      <c r="I33" s="102"/>
      <c r="J33" s="185" t="str">
        <f t="shared" si="8"/>
        <v/>
      </c>
      <c r="K33" s="319" t="str">
        <f t="shared" si="5"/>
        <v/>
      </c>
      <c r="L33" s="319"/>
      <c r="M33" s="320" t="str">
        <f t="shared" si="9"/>
        <v/>
      </c>
      <c r="N33" s="320"/>
      <c r="O33" s="320"/>
      <c r="Q33" t="b">
        <f t="shared" si="1"/>
        <v>0</v>
      </c>
      <c r="R33" s="97" t="b">
        <f t="shared" si="2"/>
        <v>1</v>
      </c>
      <c r="S33" s="97" t="b">
        <f t="shared" si="7"/>
        <v>0</v>
      </c>
      <c r="T33" s="50">
        <v>25</v>
      </c>
      <c r="U33" s="51">
        <f t="shared" si="3"/>
        <v>984.97326758076304</v>
      </c>
      <c r="V33" s="51">
        <f t="shared" si="4"/>
        <v>393550.17962692736</v>
      </c>
    </row>
    <row r="34" spans="9:22" ht="20.25" customHeight="1" x14ac:dyDescent="0.35">
      <c r="J34" s="185" t="str">
        <f t="shared" si="8"/>
        <v/>
      </c>
      <c r="K34" s="319" t="str">
        <f t="shared" si="5"/>
        <v/>
      </c>
      <c r="L34" s="319"/>
      <c r="M34" s="320" t="str">
        <f t="shared" si="9"/>
        <v/>
      </c>
      <c r="N34" s="320"/>
      <c r="O34" s="320"/>
      <c r="Q34" t="b">
        <f t="shared" si="1"/>
        <v>0</v>
      </c>
      <c r="R34" s="97" t="b">
        <f t="shared" si="2"/>
        <v>1</v>
      </c>
      <c r="S34" s="97" t="b">
        <f t="shared" si="7"/>
        <v>0</v>
      </c>
      <c r="T34" s="50">
        <v>26</v>
      </c>
      <c r="U34" s="51">
        <f t="shared" si="3"/>
        <v>1083.4705943388394</v>
      </c>
      <c r="V34" s="51">
        <f t="shared" si="4"/>
        <v>454608.32625854824</v>
      </c>
    </row>
    <row r="35" spans="9:22" ht="20.25" customHeight="1" x14ac:dyDescent="0.35">
      <c r="J35" s="185" t="str">
        <f t="shared" si="8"/>
        <v/>
      </c>
      <c r="K35" s="319" t="str">
        <f t="shared" si="5"/>
        <v/>
      </c>
      <c r="L35" s="319"/>
      <c r="M35" s="320" t="str">
        <f t="shared" si="9"/>
        <v/>
      </c>
      <c r="N35" s="320"/>
      <c r="O35" s="320"/>
      <c r="Q35" t="b">
        <f t="shared" si="1"/>
        <v>0</v>
      </c>
      <c r="R35" s="97" t="b">
        <f t="shared" si="2"/>
        <v>1</v>
      </c>
      <c r="S35" s="97" t="b">
        <f t="shared" si="7"/>
        <v>0</v>
      </c>
      <c r="T35" s="50">
        <v>27</v>
      </c>
      <c r="U35" s="51">
        <f t="shared" si="3"/>
        <v>1191.8176537727234</v>
      </c>
      <c r="V35" s="51">
        <f t="shared" si="4"/>
        <v>524376.66299360257</v>
      </c>
    </row>
    <row r="36" spans="9:22" ht="20.25" customHeight="1" x14ac:dyDescent="0.35">
      <c r="J36" s="185" t="str">
        <f t="shared" si="8"/>
        <v/>
      </c>
      <c r="K36" s="319" t="str">
        <f t="shared" si="5"/>
        <v/>
      </c>
      <c r="L36" s="319"/>
      <c r="M36" s="320" t="str">
        <f t="shared" si="9"/>
        <v/>
      </c>
      <c r="N36" s="320"/>
      <c r="O36" s="320"/>
      <c r="Q36" t="b">
        <f t="shared" si="1"/>
        <v>0</v>
      </c>
      <c r="R36" s="97" t="b">
        <f t="shared" si="2"/>
        <v>1</v>
      </c>
      <c r="S36" s="97" t="b">
        <f t="shared" si="7"/>
        <v>0</v>
      </c>
      <c r="T36" s="50">
        <v>28</v>
      </c>
      <c r="U36" s="51">
        <f t="shared" si="3"/>
        <v>1310.9994191499959</v>
      </c>
      <c r="V36" s="51">
        <f t="shared" si="4"/>
        <v>604038.73389526631</v>
      </c>
    </row>
    <row r="37" spans="9:22" ht="20.25" customHeight="1" x14ac:dyDescent="0.35">
      <c r="J37" s="185" t="str">
        <f t="shared" si="8"/>
        <v/>
      </c>
      <c r="K37" s="319" t="str">
        <f t="shared" si="5"/>
        <v/>
      </c>
      <c r="L37" s="319"/>
      <c r="M37" s="320" t="str">
        <f t="shared" si="9"/>
        <v/>
      </c>
      <c r="N37" s="320"/>
      <c r="O37" s="320"/>
      <c r="Q37" t="b">
        <f t="shared" si="1"/>
        <v>0</v>
      </c>
      <c r="R37" s="97" t="b">
        <f t="shared" si="2"/>
        <v>1</v>
      </c>
      <c r="S37" s="97" t="b">
        <f t="shared" si="7"/>
        <v>0</v>
      </c>
      <c r="T37" s="50">
        <v>29</v>
      </c>
      <c r="U37" s="51">
        <f t="shared" si="3"/>
        <v>1442.0993610649957</v>
      </c>
      <c r="V37" s="51">
        <f t="shared" si="4"/>
        <v>694933.94043937291</v>
      </c>
    </row>
    <row r="38" spans="9:22" ht="20.25" customHeight="1" x14ac:dyDescent="0.35">
      <c r="J38" s="185" t="str">
        <f t="shared" si="8"/>
        <v/>
      </c>
      <c r="K38" s="319" t="str">
        <f t="shared" si="5"/>
        <v/>
      </c>
      <c r="L38" s="319"/>
      <c r="M38" s="320" t="str">
        <f t="shared" si="9"/>
        <v/>
      </c>
      <c r="N38" s="320"/>
      <c r="O38" s="320"/>
      <c r="Q38" t="b">
        <f t="shared" si="1"/>
        <v>0</v>
      </c>
      <c r="R38" s="97" t="b">
        <f t="shared" si="2"/>
        <v>1</v>
      </c>
      <c r="S38" s="97" t="b">
        <f t="shared" si="7"/>
        <v>0</v>
      </c>
      <c r="T38" s="50">
        <v>30</v>
      </c>
      <c r="U38" s="51">
        <f t="shared" si="3"/>
        <v>1586.3092971714955</v>
      </c>
      <c r="V38" s="51">
        <f t="shared" si="4"/>
        <v>798577.62761643983</v>
      </c>
    </row>
    <row r="39" spans="9:22" ht="20.25" customHeight="1" x14ac:dyDescent="0.35">
      <c r="J39" s="185" t="str">
        <f t="shared" si="8"/>
        <v/>
      </c>
      <c r="K39" s="319" t="str">
        <f t="shared" si="5"/>
        <v/>
      </c>
      <c r="L39" s="319"/>
      <c r="M39" s="320" t="str">
        <f t="shared" si="9"/>
        <v/>
      </c>
      <c r="N39" s="320"/>
      <c r="O39" s="320"/>
      <c r="Q39" t="b">
        <f t="shared" si="1"/>
        <v>0</v>
      </c>
      <c r="R39" s="97" t="b">
        <f t="shared" si="2"/>
        <v>1</v>
      </c>
      <c r="S39" s="97" t="b">
        <f t="shared" si="7"/>
        <v>0</v>
      </c>
      <c r="T39" s="50">
        <v>31</v>
      </c>
      <c r="U39" s="51">
        <f t="shared" si="3"/>
        <v>1744.9402268886452</v>
      </c>
      <c r="V39" s="51">
        <f t="shared" si="4"/>
        <v>916683.71868718904</v>
      </c>
    </row>
    <row r="40" spans="9:22" ht="20.25" customHeight="1" x14ac:dyDescent="0.35">
      <c r="J40" s="185" t="str">
        <f t="shared" si="8"/>
        <v/>
      </c>
      <c r="K40" s="319" t="str">
        <f t="shared" si="5"/>
        <v/>
      </c>
      <c r="L40" s="319"/>
      <c r="M40" s="320" t="str">
        <f t="shared" si="9"/>
        <v/>
      </c>
      <c r="N40" s="320"/>
      <c r="O40" s="320"/>
      <c r="Q40" t="b">
        <f t="shared" si="1"/>
        <v>0</v>
      </c>
      <c r="R40" s="97" t="b">
        <f t="shared" si="2"/>
        <v>1</v>
      </c>
      <c r="S40" s="97" t="b">
        <f t="shared" si="7"/>
        <v>0</v>
      </c>
      <c r="T40" s="50">
        <v>32</v>
      </c>
      <c r="U40" s="51">
        <f t="shared" si="3"/>
        <v>1919.4342495775097</v>
      </c>
      <c r="V40" s="51">
        <f t="shared" si="4"/>
        <v>1051190.2182621059</v>
      </c>
    </row>
    <row r="41" spans="9:22" ht="20.25" customHeight="1" x14ac:dyDescent="0.35">
      <c r="J41" s="185" t="str">
        <f t="shared" si="8"/>
        <v/>
      </c>
      <c r="K41" s="319" t="str">
        <f t="shared" si="5"/>
        <v/>
      </c>
      <c r="L41" s="319"/>
      <c r="M41" s="320" t="str">
        <f t="shared" si="9"/>
        <v/>
      </c>
      <c r="N41" s="320"/>
      <c r="O41" s="320"/>
      <c r="Q41" t="b">
        <f t="shared" si="1"/>
        <v>0</v>
      </c>
      <c r="R41" s="97" t="b">
        <f t="shared" si="2"/>
        <v>1</v>
      </c>
      <c r="S41" s="97" t="b">
        <f t="shared" si="7"/>
        <v>0</v>
      </c>
      <c r="T41" s="50">
        <v>33</v>
      </c>
      <c r="U41" s="51">
        <f t="shared" si="3"/>
        <v>2111.3776745352607</v>
      </c>
      <c r="V41" s="51">
        <f t="shared" si="4"/>
        <v>1204287.9431192582</v>
      </c>
    </row>
    <row r="42" spans="9:22" ht="20.25" customHeight="1" x14ac:dyDescent="0.35">
      <c r="J42" s="185" t="str">
        <f t="shared" si="8"/>
        <v/>
      </c>
      <c r="K42" s="319" t="str">
        <f t="shared" si="5"/>
        <v/>
      </c>
      <c r="L42" s="319"/>
      <c r="M42" s="320" t="str">
        <f t="shared" si="9"/>
        <v/>
      </c>
      <c r="N42" s="320"/>
      <c r="O42" s="320"/>
      <c r="Q42" t="b">
        <f t="shared" ref="Q42:Q60" si="10">J42&lt;=$G$19</f>
        <v>0</v>
      </c>
      <c r="R42" s="97" t="b">
        <f t="shared" ref="R42:R60" si="11">J42=""</f>
        <v>1</v>
      </c>
      <c r="S42" s="97" t="b">
        <f t="shared" si="7"/>
        <v>0</v>
      </c>
      <c r="T42" s="50">
        <v>34</v>
      </c>
      <c r="U42" s="51">
        <f t="shared" ref="U42:U58" si="12">U41*(1+$G$18)</f>
        <v>2322.5154419887867</v>
      </c>
      <c r="V42" s="51">
        <f t="shared" ref="V42:V58" si="13">FV((1+$G$12)^(1/12)-1,12,-U42,-V41,1)</f>
        <v>1378452.8848258387</v>
      </c>
    </row>
    <row r="43" spans="9:22" ht="20.25" customHeight="1" x14ac:dyDescent="0.35">
      <c r="J43" s="185" t="str">
        <f t="shared" si="8"/>
        <v/>
      </c>
      <c r="K43" s="319" t="str">
        <f t="shared" ref="K43:K60" si="14">IF(J43="","",IF(Q43,K42*(1+$G$18),0))</f>
        <v/>
      </c>
      <c r="L43" s="319"/>
      <c r="M43" s="320" t="str">
        <f t="shared" si="9"/>
        <v/>
      </c>
      <c r="N43" s="320"/>
      <c r="O43" s="320"/>
      <c r="Q43" t="b">
        <f t="shared" si="10"/>
        <v>0</v>
      </c>
      <c r="R43" s="97" t="b">
        <f t="shared" si="11"/>
        <v>1</v>
      </c>
      <c r="S43" s="97" t="b">
        <f t="shared" si="7"/>
        <v>0</v>
      </c>
      <c r="T43" s="50">
        <v>35</v>
      </c>
      <c r="U43" s="51">
        <f t="shared" si="12"/>
        <v>2554.7669861876657</v>
      </c>
      <c r="V43" s="51">
        <f t="shared" si="13"/>
        <v>1576482.6583904361</v>
      </c>
    </row>
    <row r="44" spans="9:22" ht="20.25" customHeight="1" x14ac:dyDescent="0.35">
      <c r="J44" s="185" t="str">
        <f t="shared" si="8"/>
        <v/>
      </c>
      <c r="K44" s="319" t="str">
        <f t="shared" si="14"/>
        <v/>
      </c>
      <c r="L44" s="319"/>
      <c r="M44" s="320" t="str">
        <f t="shared" si="9"/>
        <v/>
      </c>
      <c r="N44" s="320"/>
      <c r="O44" s="320"/>
      <c r="Q44" t="b">
        <f t="shared" si="10"/>
        <v>0</v>
      </c>
      <c r="R44" s="97" t="b">
        <f t="shared" si="11"/>
        <v>1</v>
      </c>
      <c r="S44" s="97" t="b">
        <f t="shared" si="7"/>
        <v>0</v>
      </c>
      <c r="T44" s="50">
        <v>36</v>
      </c>
      <c r="U44" s="51">
        <f t="shared" si="12"/>
        <v>2810.2436848064326</v>
      </c>
      <c r="V44" s="51">
        <f t="shared" si="13"/>
        <v>1801537.5475213348</v>
      </c>
    </row>
    <row r="45" spans="9:22" ht="20.25" customHeight="1" x14ac:dyDescent="0.35">
      <c r="J45" s="185" t="str">
        <f t="shared" si="8"/>
        <v/>
      </c>
      <c r="K45" s="319" t="str">
        <f t="shared" si="14"/>
        <v/>
      </c>
      <c r="L45" s="319"/>
      <c r="M45" s="320" t="str">
        <f t="shared" si="9"/>
        <v/>
      </c>
      <c r="N45" s="320"/>
      <c r="O45" s="320"/>
      <c r="Q45" t="b">
        <f t="shared" si="10"/>
        <v>0</v>
      </c>
      <c r="R45" s="97" t="b">
        <f t="shared" si="11"/>
        <v>1</v>
      </c>
      <c r="S45" s="97" t="b">
        <f t="shared" si="7"/>
        <v>0</v>
      </c>
      <c r="T45" s="50">
        <v>37</v>
      </c>
      <c r="U45" s="51">
        <f t="shared" si="12"/>
        <v>3091.2680532870763</v>
      </c>
      <c r="V45" s="51">
        <f t="shared" si="13"/>
        <v>2057186.7203603464</v>
      </c>
    </row>
    <row r="46" spans="9:22" ht="20.25" customHeight="1" x14ac:dyDescent="0.35">
      <c r="J46" s="185" t="str">
        <f t="shared" si="8"/>
        <v/>
      </c>
      <c r="K46" s="319" t="str">
        <f t="shared" si="14"/>
        <v/>
      </c>
      <c r="L46" s="319"/>
      <c r="M46" s="320" t="str">
        <f t="shared" si="9"/>
        <v/>
      </c>
      <c r="N46" s="320"/>
      <c r="O46" s="320"/>
      <c r="Q46" t="b">
        <f t="shared" si="10"/>
        <v>0</v>
      </c>
      <c r="R46" s="97" t="b">
        <f t="shared" si="11"/>
        <v>1</v>
      </c>
      <c r="S46" s="97" t="b">
        <f t="shared" si="7"/>
        <v>0</v>
      </c>
      <c r="T46" s="50">
        <v>38</v>
      </c>
      <c r="U46" s="51">
        <f t="shared" si="12"/>
        <v>3400.3948586157844</v>
      </c>
      <c r="V46" s="51">
        <f t="shared" si="13"/>
        <v>2347460.2606536844</v>
      </c>
    </row>
    <row r="47" spans="9:22" ht="20.25" customHeight="1" x14ac:dyDescent="0.35">
      <c r="J47" s="185" t="str">
        <f t="shared" si="8"/>
        <v/>
      </c>
      <c r="K47" s="319" t="str">
        <f t="shared" si="14"/>
        <v/>
      </c>
      <c r="L47" s="319"/>
      <c r="M47" s="320" t="str">
        <f t="shared" si="9"/>
        <v/>
      </c>
      <c r="N47" s="320"/>
      <c r="O47" s="320"/>
      <c r="Q47" t="b">
        <f t="shared" si="10"/>
        <v>0</v>
      </c>
      <c r="R47" s="97" t="b">
        <f t="shared" si="11"/>
        <v>1</v>
      </c>
      <c r="S47" s="97" t="b">
        <f t="shared" si="7"/>
        <v>0</v>
      </c>
      <c r="T47" s="50">
        <v>39</v>
      </c>
      <c r="U47" s="51">
        <f t="shared" si="12"/>
        <v>3740.4343444773631</v>
      </c>
      <c r="V47" s="51">
        <f t="shared" si="13"/>
        <v>2676907.739167233</v>
      </c>
    </row>
    <row r="48" spans="9:22" ht="20.25" customHeight="1" x14ac:dyDescent="0.35">
      <c r="J48" s="185" t="str">
        <f t="shared" si="8"/>
        <v/>
      </c>
      <c r="K48" s="319" t="str">
        <f t="shared" si="14"/>
        <v/>
      </c>
      <c r="L48" s="319"/>
      <c r="M48" s="320" t="str">
        <f t="shared" si="9"/>
        <v/>
      </c>
      <c r="N48" s="320"/>
      <c r="O48" s="320"/>
      <c r="Q48" t="b">
        <f t="shared" si="10"/>
        <v>0</v>
      </c>
      <c r="R48" s="97" t="b">
        <f t="shared" si="11"/>
        <v>1</v>
      </c>
      <c r="S48" s="97" t="b">
        <f t="shared" si="7"/>
        <v>0</v>
      </c>
      <c r="T48" s="50">
        <v>40</v>
      </c>
      <c r="U48" s="51">
        <f t="shared" si="12"/>
        <v>4114.4777789250993</v>
      </c>
      <c r="V48" s="51">
        <f t="shared" si="13"/>
        <v>3050664.1398259178</v>
      </c>
    </row>
    <row r="49" spans="10:22" ht="20.25" customHeight="1" x14ac:dyDescent="0.35">
      <c r="J49" s="185" t="str">
        <f t="shared" si="8"/>
        <v/>
      </c>
      <c r="K49" s="319" t="str">
        <f t="shared" si="14"/>
        <v/>
      </c>
      <c r="L49" s="319"/>
      <c r="M49" s="320" t="str">
        <f t="shared" si="9"/>
        <v/>
      </c>
      <c r="N49" s="320"/>
      <c r="O49" s="320"/>
      <c r="Q49" t="b">
        <f t="shared" si="10"/>
        <v>0</v>
      </c>
      <c r="R49" s="97" t="b">
        <f t="shared" si="11"/>
        <v>1</v>
      </c>
      <c r="S49" s="97" t="b">
        <f t="shared" si="7"/>
        <v>0</v>
      </c>
      <c r="T49" s="50">
        <v>41</v>
      </c>
      <c r="U49" s="51">
        <f t="shared" si="12"/>
        <v>4525.9255568176095</v>
      </c>
      <c r="V49" s="51">
        <f t="shared" si="13"/>
        <v>3474524.0557595068</v>
      </c>
    </row>
    <row r="50" spans="10:22" ht="20.25" customHeight="1" x14ac:dyDescent="0.35">
      <c r="J50" s="185" t="str">
        <f t="shared" si="8"/>
        <v/>
      </c>
      <c r="K50" s="319" t="str">
        <f t="shared" si="14"/>
        <v/>
      </c>
      <c r="L50" s="319"/>
      <c r="M50" s="320" t="str">
        <f t="shared" si="9"/>
        <v/>
      </c>
      <c r="N50" s="320"/>
      <c r="O50" s="320"/>
      <c r="Q50" t="b">
        <f t="shared" si="10"/>
        <v>0</v>
      </c>
      <c r="R50" s="97" t="b">
        <f t="shared" si="11"/>
        <v>1</v>
      </c>
      <c r="S50" s="97" t="b">
        <f t="shared" si="7"/>
        <v>0</v>
      </c>
      <c r="T50" s="50">
        <v>42</v>
      </c>
      <c r="U50" s="51">
        <f t="shared" si="12"/>
        <v>4978.5181124993705</v>
      </c>
      <c r="V50" s="51">
        <f t="shared" si="13"/>
        <v>3955025.1835205741</v>
      </c>
    </row>
    <row r="51" spans="10:22" ht="20.25" customHeight="1" x14ac:dyDescent="0.35">
      <c r="J51" s="185" t="str">
        <f t="shared" si="8"/>
        <v/>
      </c>
      <c r="K51" s="319" t="str">
        <f t="shared" si="14"/>
        <v/>
      </c>
      <c r="L51" s="319"/>
      <c r="M51" s="320" t="str">
        <f t="shared" ref="M51:M60" si="15">IF(J51="","",FV((1+$G$12)^(1/12)-1,12,-K51,IF(ISNUMBER(M50),-M50,0),1))</f>
        <v/>
      </c>
      <c r="N51" s="320"/>
      <c r="O51" s="320"/>
      <c r="Q51" t="b">
        <f t="shared" si="10"/>
        <v>0</v>
      </c>
      <c r="R51" s="97" t="b">
        <f t="shared" si="11"/>
        <v>1</v>
      </c>
      <c r="S51" s="97" t="b">
        <f t="shared" si="7"/>
        <v>0</v>
      </c>
      <c r="T51" s="50">
        <v>43</v>
      </c>
      <c r="U51" s="51">
        <f t="shared" si="12"/>
        <v>5476.3699237493083</v>
      </c>
      <c r="V51" s="51">
        <f t="shared" si="13"/>
        <v>4499542.2707199631</v>
      </c>
    </row>
    <row r="52" spans="10:22" ht="20.25" customHeight="1" x14ac:dyDescent="0.35">
      <c r="J52" s="185" t="str">
        <f t="shared" si="8"/>
        <v/>
      </c>
      <c r="K52" s="319" t="str">
        <f t="shared" si="14"/>
        <v/>
      </c>
      <c r="L52" s="319"/>
      <c r="M52" s="320" t="str">
        <f t="shared" si="15"/>
        <v/>
      </c>
      <c r="N52" s="320"/>
      <c r="O52" s="320"/>
      <c r="Q52" t="b">
        <f t="shared" si="10"/>
        <v>0</v>
      </c>
      <c r="R52" s="97" t="b">
        <f t="shared" si="11"/>
        <v>1</v>
      </c>
      <c r="S52" s="97" t="b">
        <f t="shared" si="7"/>
        <v>0</v>
      </c>
      <c r="T52" s="50">
        <v>44</v>
      </c>
      <c r="U52" s="51">
        <f t="shared" si="12"/>
        <v>6024.00691612424</v>
      </c>
      <c r="V52" s="51">
        <f t="shared" si="13"/>
        <v>5116392.814900971</v>
      </c>
    </row>
    <row r="53" spans="10:22" ht="20.25" customHeight="1" x14ac:dyDescent="0.35">
      <c r="J53" s="185" t="str">
        <f t="shared" si="8"/>
        <v/>
      </c>
      <c r="K53" s="319" t="str">
        <f t="shared" si="14"/>
        <v/>
      </c>
      <c r="L53" s="319"/>
      <c r="M53" s="320" t="str">
        <f t="shared" si="15"/>
        <v/>
      </c>
      <c r="N53" s="320"/>
      <c r="O53" s="320"/>
      <c r="Q53" t="b">
        <f t="shared" si="10"/>
        <v>0</v>
      </c>
      <c r="R53" s="97" t="b">
        <f t="shared" si="11"/>
        <v>1</v>
      </c>
      <c r="S53" s="97" t="b">
        <f t="shared" si="7"/>
        <v>0</v>
      </c>
      <c r="T53" s="50">
        <v>45</v>
      </c>
      <c r="U53" s="51">
        <f t="shared" si="12"/>
        <v>6626.4076077366644</v>
      </c>
      <c r="V53" s="51">
        <f t="shared" si="13"/>
        <v>5814955.9715531608</v>
      </c>
    </row>
    <row r="54" spans="10:22" ht="20.25" customHeight="1" x14ac:dyDescent="0.35">
      <c r="J54" s="185" t="str">
        <f t="shared" si="8"/>
        <v/>
      </c>
      <c r="K54" s="319" t="str">
        <f t="shared" si="14"/>
        <v/>
      </c>
      <c r="L54" s="319"/>
      <c r="M54" s="320" t="str">
        <f t="shared" si="15"/>
        <v/>
      </c>
      <c r="N54" s="320"/>
      <c r="O54" s="320"/>
      <c r="Q54" t="b">
        <f t="shared" si="10"/>
        <v>0</v>
      </c>
      <c r="R54" s="97" t="b">
        <f t="shared" si="11"/>
        <v>1</v>
      </c>
      <c r="S54" s="97" t="b">
        <f t="shared" si="7"/>
        <v>0</v>
      </c>
      <c r="T54" s="50">
        <v>46</v>
      </c>
      <c r="U54" s="51">
        <f t="shared" si="12"/>
        <v>7289.0483685103318</v>
      </c>
      <c r="V54" s="51">
        <f t="shared" si="13"/>
        <v>6605806.3088900214</v>
      </c>
    </row>
    <row r="55" spans="10:22" ht="20.25" customHeight="1" x14ac:dyDescent="0.35">
      <c r="J55" s="185" t="str">
        <f t="shared" si="8"/>
        <v/>
      </c>
      <c r="K55" s="319" t="str">
        <f t="shared" si="14"/>
        <v/>
      </c>
      <c r="L55" s="319"/>
      <c r="M55" s="320" t="str">
        <f t="shared" si="15"/>
        <v/>
      </c>
      <c r="N55" s="320"/>
      <c r="O55" s="320"/>
      <c r="Q55" t="b">
        <f t="shared" si="10"/>
        <v>0</v>
      </c>
      <c r="R55" s="97" t="b">
        <f t="shared" si="11"/>
        <v>1</v>
      </c>
      <c r="S55" s="97" t="b">
        <f t="shared" si="7"/>
        <v>0</v>
      </c>
      <c r="T55" s="50">
        <v>47</v>
      </c>
      <c r="U55" s="51">
        <f t="shared" si="12"/>
        <v>8017.9532053613657</v>
      </c>
      <c r="V55" s="51">
        <f t="shared" si="13"/>
        <v>7500864.2487823535</v>
      </c>
    </row>
    <row r="56" spans="10:22" ht="20.25" customHeight="1" x14ac:dyDescent="0.35">
      <c r="J56" s="185" t="str">
        <f t="shared" si="8"/>
        <v/>
      </c>
      <c r="K56" s="319" t="str">
        <f t="shared" si="14"/>
        <v/>
      </c>
      <c r="L56" s="319"/>
      <c r="M56" s="320" t="str">
        <f t="shared" si="15"/>
        <v/>
      </c>
      <c r="N56" s="320"/>
      <c r="O56" s="320"/>
      <c r="Q56" t="b">
        <f t="shared" si="10"/>
        <v>0</v>
      </c>
      <c r="R56" s="97" t="b">
        <f t="shared" si="11"/>
        <v>1</v>
      </c>
      <c r="S56" s="97" t="b">
        <f t="shared" si="7"/>
        <v>0</v>
      </c>
      <c r="T56" s="50">
        <v>48</v>
      </c>
      <c r="U56" s="51">
        <f t="shared" si="12"/>
        <v>8819.748525897503</v>
      </c>
      <c r="V56" s="51">
        <f t="shared" si="13"/>
        <v>8513565.2597443182</v>
      </c>
    </row>
    <row r="57" spans="10:22" ht="20.25" customHeight="1" x14ac:dyDescent="0.35">
      <c r="J57" s="185" t="str">
        <f t="shared" si="8"/>
        <v/>
      </c>
      <c r="K57" s="319" t="str">
        <f t="shared" si="14"/>
        <v/>
      </c>
      <c r="L57" s="319"/>
      <c r="M57" s="320" t="str">
        <f t="shared" si="15"/>
        <v/>
      </c>
      <c r="N57" s="320"/>
      <c r="O57" s="320"/>
      <c r="Q57" t="b">
        <f t="shared" si="10"/>
        <v>0</v>
      </c>
      <c r="R57" s="97" t="b">
        <f t="shared" si="11"/>
        <v>1</v>
      </c>
      <c r="S57" s="97" t="b">
        <f t="shared" si="7"/>
        <v>0</v>
      </c>
      <c r="T57" s="50">
        <v>49</v>
      </c>
      <c r="U57" s="51">
        <f t="shared" si="12"/>
        <v>9701.7233784872533</v>
      </c>
      <c r="V57" s="51">
        <f t="shared" si="13"/>
        <v>9659050.1221325267</v>
      </c>
    </row>
    <row r="58" spans="10:22" ht="20.25" customHeight="1" x14ac:dyDescent="0.35">
      <c r="J58" s="185" t="str">
        <f t="shared" si="8"/>
        <v/>
      </c>
      <c r="K58" s="319" t="str">
        <f t="shared" si="14"/>
        <v/>
      </c>
      <c r="L58" s="319"/>
      <c r="M58" s="320" t="str">
        <f t="shared" si="15"/>
        <v/>
      </c>
      <c r="N58" s="320"/>
      <c r="O58" s="320"/>
      <c r="Q58" t="b">
        <f t="shared" si="10"/>
        <v>0</v>
      </c>
      <c r="R58" s="97" t="b">
        <f t="shared" si="11"/>
        <v>1</v>
      </c>
      <c r="S58" s="97" t="b">
        <f t="shared" si="7"/>
        <v>0</v>
      </c>
      <c r="T58" s="50">
        <v>50</v>
      </c>
      <c r="U58" s="51">
        <f t="shared" si="12"/>
        <v>10671.895716335979</v>
      </c>
      <c r="V58" s="51">
        <f t="shared" si="13"/>
        <v>10954378.871129211</v>
      </c>
    </row>
    <row r="59" spans="10:22" ht="20.25" customHeight="1" x14ac:dyDescent="0.35">
      <c r="J59" s="185" t="str">
        <f t="shared" si="8"/>
        <v/>
      </c>
      <c r="K59" s="319" t="str">
        <f t="shared" si="14"/>
        <v/>
      </c>
      <c r="L59" s="319"/>
      <c r="M59" s="320" t="str">
        <f t="shared" si="15"/>
        <v/>
      </c>
      <c r="N59" s="320"/>
      <c r="O59" s="320"/>
      <c r="Q59" t="b">
        <f t="shared" si="10"/>
        <v>0</v>
      </c>
      <c r="R59" s="97" t="b">
        <f t="shared" si="11"/>
        <v>1</v>
      </c>
      <c r="S59" s="97" t="b">
        <f t="shared" si="7"/>
        <v>0</v>
      </c>
    </row>
    <row r="60" spans="10:22" ht="20.25" customHeight="1" x14ac:dyDescent="0.35">
      <c r="J60" s="185" t="str">
        <f t="shared" si="8"/>
        <v/>
      </c>
      <c r="K60" s="319" t="str">
        <f t="shared" si="14"/>
        <v/>
      </c>
      <c r="L60" s="319"/>
      <c r="M60" s="320" t="str">
        <f t="shared" si="15"/>
        <v/>
      </c>
      <c r="N60" s="320"/>
      <c r="O60" s="320"/>
      <c r="Q60" t="b">
        <f t="shared" si="10"/>
        <v>0</v>
      </c>
      <c r="R60" s="97" t="b">
        <f t="shared" si="11"/>
        <v>1</v>
      </c>
      <c r="S60" s="97" t="b">
        <f t="shared" si="7"/>
        <v>0</v>
      </c>
    </row>
    <row r="61" spans="10:22" ht="15" customHeight="1" x14ac:dyDescent="0.35">
      <c r="J61"/>
      <c r="K61"/>
      <c r="L61"/>
      <c r="M61"/>
      <c r="N61"/>
      <c r="O61"/>
    </row>
  </sheetData>
  <sheetProtection algorithmName="SHA-512" hashValue="T710ksD/uYGxal2qB/ls++hTUiVvmL/1jYKFHcRO5DE5Tfd63j79/LWKbE23Jx+fRgU2qFdsAO/Hj51rpWOgeA==" saltValue="Um8YBgNAJ3p5mMvDTiRw2w==" spinCount="100000" sheet="1" objects="1" scenarios="1"/>
  <mergeCells count="125">
    <mergeCell ref="A2:A3"/>
    <mergeCell ref="B2:H3"/>
    <mergeCell ref="G17:H17"/>
    <mergeCell ref="G18:H18"/>
    <mergeCell ref="G9:H9"/>
    <mergeCell ref="G10:H10"/>
    <mergeCell ref="G11:H11"/>
    <mergeCell ref="G12:H12"/>
    <mergeCell ref="G13:H13"/>
    <mergeCell ref="G14:H14"/>
    <mergeCell ref="G15:H15"/>
    <mergeCell ref="G16:H16"/>
    <mergeCell ref="K32:L32"/>
    <mergeCell ref="J5:M6"/>
    <mergeCell ref="D5:G6"/>
    <mergeCell ref="B7:G8"/>
    <mergeCell ref="G25:H25"/>
    <mergeCell ref="K9:L9"/>
    <mergeCell ref="M9:O9"/>
    <mergeCell ref="K10:L10"/>
    <mergeCell ref="K11:L11"/>
    <mergeCell ref="K12:L12"/>
    <mergeCell ref="K13:L13"/>
    <mergeCell ref="K14:L14"/>
    <mergeCell ref="K15:L15"/>
    <mergeCell ref="K16:L16"/>
    <mergeCell ref="K17:L17"/>
    <mergeCell ref="K18:L18"/>
    <mergeCell ref="K19:L19"/>
    <mergeCell ref="K20:L20"/>
    <mergeCell ref="K21:L21"/>
    <mergeCell ref="G19:H19"/>
    <mergeCell ref="G20:H20"/>
    <mergeCell ref="B21:H21"/>
    <mergeCell ref="D23:H23"/>
    <mergeCell ref="D24:H24"/>
    <mergeCell ref="K27:L27"/>
    <mergeCell ref="K28:L28"/>
    <mergeCell ref="K29:L29"/>
    <mergeCell ref="K30:L30"/>
    <mergeCell ref="K31:L31"/>
    <mergeCell ref="K22:L22"/>
    <mergeCell ref="K23:L23"/>
    <mergeCell ref="K24:L24"/>
    <mergeCell ref="K25:L25"/>
    <mergeCell ref="K26:L26"/>
    <mergeCell ref="K46:L46"/>
    <mergeCell ref="K47:L47"/>
    <mergeCell ref="K38:L38"/>
    <mergeCell ref="K39:L39"/>
    <mergeCell ref="K40:L40"/>
    <mergeCell ref="K41:L41"/>
    <mergeCell ref="K42:L42"/>
    <mergeCell ref="K33:L33"/>
    <mergeCell ref="K34:L34"/>
    <mergeCell ref="K35:L35"/>
    <mergeCell ref="K36:L36"/>
    <mergeCell ref="K37:L37"/>
    <mergeCell ref="M23:O23"/>
    <mergeCell ref="M24:O24"/>
    <mergeCell ref="M25:O25"/>
    <mergeCell ref="M26:O26"/>
    <mergeCell ref="M27:O27"/>
    <mergeCell ref="K48:L48"/>
    <mergeCell ref="K49:L49"/>
    <mergeCell ref="K50:L50"/>
    <mergeCell ref="M10:O10"/>
    <mergeCell ref="M11:O11"/>
    <mergeCell ref="M12:O12"/>
    <mergeCell ref="M13:O13"/>
    <mergeCell ref="M14:O14"/>
    <mergeCell ref="M15:O15"/>
    <mergeCell ref="M16:O16"/>
    <mergeCell ref="M17:O17"/>
    <mergeCell ref="M18:O18"/>
    <mergeCell ref="M19:O19"/>
    <mergeCell ref="M20:O20"/>
    <mergeCell ref="M21:O21"/>
    <mergeCell ref="M22:O22"/>
    <mergeCell ref="K43:L43"/>
    <mergeCell ref="K44:L44"/>
    <mergeCell ref="K45:L45"/>
    <mergeCell ref="M33:O33"/>
    <mergeCell ref="M34:O34"/>
    <mergeCell ref="M35:O35"/>
    <mergeCell ref="M36:O36"/>
    <mergeCell ref="M37:O37"/>
    <mergeCell ref="M28:O28"/>
    <mergeCell ref="M29:O29"/>
    <mergeCell ref="M30:O30"/>
    <mergeCell ref="M31:O31"/>
    <mergeCell ref="M32:O32"/>
    <mergeCell ref="M43:O43"/>
    <mergeCell ref="M44:O44"/>
    <mergeCell ref="M45:O45"/>
    <mergeCell ref="M46:O46"/>
    <mergeCell ref="M47:O47"/>
    <mergeCell ref="M38:O38"/>
    <mergeCell ref="M39:O39"/>
    <mergeCell ref="M40:O40"/>
    <mergeCell ref="M41:O41"/>
    <mergeCell ref="M42:O42"/>
    <mergeCell ref="K52:L52"/>
    <mergeCell ref="M52:O52"/>
    <mergeCell ref="K53:L53"/>
    <mergeCell ref="M53:O53"/>
    <mergeCell ref="K54:L54"/>
    <mergeCell ref="M54:O54"/>
    <mergeCell ref="M48:O48"/>
    <mergeCell ref="M49:O49"/>
    <mergeCell ref="M50:O50"/>
    <mergeCell ref="K51:L51"/>
    <mergeCell ref="M51:O51"/>
    <mergeCell ref="K58:L58"/>
    <mergeCell ref="M58:O58"/>
    <mergeCell ref="K59:L59"/>
    <mergeCell ref="M59:O59"/>
    <mergeCell ref="K60:L60"/>
    <mergeCell ref="M60:O60"/>
    <mergeCell ref="K55:L55"/>
    <mergeCell ref="M55:O55"/>
    <mergeCell ref="K56:L56"/>
    <mergeCell ref="M56:O56"/>
    <mergeCell ref="K57:L57"/>
    <mergeCell ref="M57:O57"/>
  </mergeCells>
  <conditionalFormatting sqref="J10:O60">
    <cfRule type="expression" dxfId="17" priority="1">
      <formula>$S10="ORANGE"</formula>
    </cfRule>
    <cfRule type="expression" dxfId="16" priority="2">
      <formula>$S10="WHITE"</formula>
    </cfRule>
  </conditionalFormatting>
  <dataValidations count="1">
    <dataValidation type="whole" operator="lessThanOrEqual" allowBlank="1" showInputMessage="1" showErrorMessage="1" errorTitle="Error!" error="Maximum no. of years cannot be more than 50 years." sqref="G9:H9" xr:uid="{4BC1CCC5-DEAE-45C1-95D7-66DD88250F17}">
      <formula1>50</formula1>
    </dataValidation>
  </dataValidations>
  <hyperlinks>
    <hyperlink ref="A2:A3" location="'Main Menu'!A1" tooltip="HOME" display="BACK" xr:uid="{4AAD5829-1160-4756-BEF1-B12A41BAB628}"/>
    <hyperlink ref="D5:G6" location="'1 (1)'!A1" tooltip="Future Wealth Creation" display="Future Wealth Creation" xr:uid="{CDB5AB21-B080-49F3-96C7-BA2A0E153D25}"/>
  </hyperlinks>
  <printOptions horizontalCentered="1"/>
  <pageMargins left="0.23622047244094491" right="0.23622047244094491" top="0.23622047244094491" bottom="0.23622047244094491"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E3A9C-9562-49F8-8670-039A22074A43}">
  <dimension ref="A1:T67"/>
  <sheetViews>
    <sheetView showGridLines="0" zoomScaleNormal="100" workbookViewId="0">
      <selection activeCell="A2" sqref="A2:A3"/>
    </sheetView>
  </sheetViews>
  <sheetFormatPr defaultColWidth="0" defaultRowHeight="15" customHeight="1" zeroHeight="1" x14ac:dyDescent="0.35"/>
  <cols>
    <col min="1" max="15" width="9.1796875" style="6" customWidth="1"/>
    <col min="16" max="16384" width="9.1796875" style="6" hidden="1"/>
  </cols>
  <sheetData>
    <row r="1" spans="1:16" ht="14.5" x14ac:dyDescent="0.35"/>
    <row r="2" spans="1:16" ht="14.5" customHeight="1" x14ac:dyDescent="0.35">
      <c r="A2" s="289" t="s">
        <v>5</v>
      </c>
      <c r="B2" s="290" t="s">
        <v>26</v>
      </c>
      <c r="C2" s="290"/>
      <c r="D2" s="290"/>
      <c r="E2" s="290"/>
      <c r="F2" s="290"/>
      <c r="G2" s="290"/>
      <c r="H2" s="290"/>
      <c r="I2" s="290"/>
      <c r="J2" s="290"/>
      <c r="N2"/>
      <c r="O2"/>
      <c r="P2"/>
    </row>
    <row r="3" spans="1:16" ht="14.5" customHeight="1" x14ac:dyDescent="0.35">
      <c r="A3" s="289"/>
      <c r="B3" s="338"/>
      <c r="C3" s="338"/>
      <c r="D3" s="338"/>
      <c r="E3" s="338"/>
      <c r="F3" s="338"/>
      <c r="G3" s="338"/>
      <c r="H3" s="338"/>
      <c r="I3" s="338"/>
      <c r="J3" s="338"/>
      <c r="N3"/>
      <c r="O3"/>
      <c r="P3"/>
    </row>
    <row r="4" spans="1:16" ht="15.5" x14ac:dyDescent="0.35">
      <c r="I4" s="30" t="s">
        <v>281</v>
      </c>
    </row>
    <row r="5" spans="1:16" ht="20.149999999999999" customHeight="1" x14ac:dyDescent="0.35">
      <c r="B5" s="7" t="s">
        <v>374</v>
      </c>
      <c r="C5" s="11"/>
      <c r="D5" s="11"/>
      <c r="E5" s="11"/>
      <c r="F5" s="293">
        <v>30000000</v>
      </c>
      <c r="G5" s="294"/>
      <c r="H5"/>
      <c r="I5" s="355" t="s">
        <v>27</v>
      </c>
      <c r="J5" s="315"/>
      <c r="K5" s="315"/>
      <c r="L5" s="315" t="s">
        <v>28</v>
      </c>
      <c r="M5" s="315"/>
      <c r="N5" s="315" t="s">
        <v>352</v>
      </c>
      <c r="O5" s="316"/>
    </row>
    <row r="6" spans="1:16" ht="20.149999999999999" customHeight="1" x14ac:dyDescent="0.35">
      <c r="B6" s="7" t="s">
        <v>375</v>
      </c>
      <c r="C6" s="11"/>
      <c r="F6" s="293">
        <v>150000</v>
      </c>
      <c r="G6" s="294"/>
      <c r="H6"/>
      <c r="I6" s="356" t="s">
        <v>29</v>
      </c>
      <c r="J6" s="357"/>
      <c r="K6" s="173">
        <v>0.1</v>
      </c>
      <c r="L6" s="353">
        <f>$F$5*K6</f>
        <v>3000000</v>
      </c>
      <c r="M6" s="354"/>
      <c r="N6" s="336">
        <v>0.06</v>
      </c>
      <c r="O6" s="337"/>
    </row>
    <row r="7" spans="1:16" ht="20.149999999999999" customHeight="1" x14ac:dyDescent="0.35">
      <c r="B7" s="7" t="s">
        <v>46</v>
      </c>
      <c r="D7" s="11"/>
      <c r="E7" s="11"/>
      <c r="F7" s="280">
        <v>0.06</v>
      </c>
      <c r="G7" s="281"/>
      <c r="H7"/>
      <c r="I7" s="356" t="s">
        <v>30</v>
      </c>
      <c r="J7" s="357"/>
      <c r="K7" s="173">
        <v>0.3</v>
      </c>
      <c r="L7" s="353">
        <f>$F$5*K7</f>
        <v>9000000</v>
      </c>
      <c r="M7" s="354"/>
      <c r="N7" s="336">
        <v>0.08</v>
      </c>
      <c r="O7" s="337"/>
    </row>
    <row r="8" spans="1:16" ht="20.149999999999999" customHeight="1" x14ac:dyDescent="0.35">
      <c r="B8" s="7" t="s">
        <v>40</v>
      </c>
      <c r="C8" s="11"/>
      <c r="D8" s="11"/>
      <c r="E8" s="11"/>
      <c r="F8" s="293">
        <v>45</v>
      </c>
      <c r="G8" s="294"/>
      <c r="H8"/>
      <c r="I8" s="356" t="s">
        <v>31</v>
      </c>
      <c r="J8" s="357"/>
      <c r="K8" s="173">
        <v>0.6</v>
      </c>
      <c r="L8" s="353">
        <f>$F$5*K8</f>
        <v>18000000</v>
      </c>
      <c r="M8" s="354"/>
      <c r="N8" s="336">
        <v>0.15</v>
      </c>
      <c r="O8" s="337"/>
    </row>
    <row r="9" spans="1:16" ht="20.149999999999999" customHeight="1" x14ac:dyDescent="0.35">
      <c r="B9" s="7" t="s">
        <v>247</v>
      </c>
      <c r="C9" s="10"/>
      <c r="D9" s="10"/>
      <c r="E9" s="10"/>
      <c r="F9" s="293">
        <v>50</v>
      </c>
      <c r="G9" s="294"/>
      <c r="H9"/>
      <c r="I9" s="175" t="s">
        <v>32</v>
      </c>
      <c r="J9" s="176"/>
      <c r="K9" s="176"/>
      <c r="L9" s="176"/>
      <c r="M9" s="177"/>
      <c r="N9" s="349">
        <f>SUMPRODUCT(L6:L8,N6:N8)/SUM(L6:L8)</f>
        <v>0.12</v>
      </c>
      <c r="O9" s="350"/>
    </row>
    <row r="10" spans="1:16" ht="20.149999999999999" customHeight="1" x14ac:dyDescent="0.35">
      <c r="B10" s="7" t="s">
        <v>305</v>
      </c>
      <c r="C10" s="11"/>
      <c r="D10" s="11"/>
      <c r="E10" s="11"/>
      <c r="F10" s="280">
        <v>0.08</v>
      </c>
      <c r="G10" s="281"/>
      <c r="H10"/>
      <c r="I10" s="178" t="s">
        <v>33</v>
      </c>
      <c r="J10" s="179"/>
      <c r="K10" s="179"/>
      <c r="L10" s="179"/>
      <c r="M10" s="180"/>
      <c r="N10" s="351" t="str" cm="1">
        <f t="array" ref="N10">IFERROR(INDEX(B17:B66,MATCH(1,Q17:Q66,0)-2),"&gt;"&amp;B17+49)</f>
        <v>&gt;99</v>
      </c>
      <c r="O10" s="352"/>
    </row>
    <row r="11" spans="1:16" ht="20.149999999999999" customHeight="1" x14ac:dyDescent="0.35"/>
    <row r="12" spans="1:16" ht="20.149999999999999" customHeight="1" x14ac:dyDescent="0.35">
      <c r="B12" s="9" t="s">
        <v>255</v>
      </c>
      <c r="C12" s="9"/>
      <c r="D12" s="100" t="str">
        <f>" "&amp;UPPER('Main Menu'!C29)</f>
        <v xml:space="preserve"> CLIENT NAME</v>
      </c>
      <c r="E12" s="100"/>
      <c r="F12" s="100"/>
      <c r="G12" s="100"/>
      <c r="H12" s="100"/>
      <c r="J12"/>
    </row>
    <row r="13" spans="1:16" s="9" customFormat="1" ht="20.149999999999999" customHeight="1" x14ac:dyDescent="0.35">
      <c r="B13" s="9" t="s">
        <v>256</v>
      </c>
      <c r="D13" s="101" t="str">
        <f>" "&amp;UPPER('Main Menu'!L29)</f>
        <v xml:space="preserve"> PARTNER NAME</v>
      </c>
      <c r="E13" s="101"/>
      <c r="F13" s="101"/>
      <c r="G13" s="101"/>
      <c r="H13" s="101"/>
      <c r="I13" s="53" t="str">
        <f ca="1">"Dated: "&amp; TEXT(TODAY(),"DD-MMM-YYYY")</f>
        <v>Dated: 28-Aug-2025</v>
      </c>
      <c r="J13"/>
      <c r="K13" s="6"/>
      <c r="L13" s="6"/>
      <c r="M13" s="6"/>
    </row>
    <row r="14" spans="1:16" s="9" customFormat="1" ht="20.149999999999999" customHeight="1" x14ac:dyDescent="0.35">
      <c r="B14" s="333" t="s">
        <v>376</v>
      </c>
      <c r="C14" s="333"/>
      <c r="D14" s="333"/>
      <c r="E14" s="333"/>
      <c r="F14" s="333"/>
      <c r="G14" s="333"/>
      <c r="H14" s="333"/>
      <c r="I14" s="333"/>
      <c r="J14" s="333"/>
      <c r="K14" s="6"/>
      <c r="L14" s="6"/>
      <c r="M14" s="6"/>
      <c r="N14" s="41"/>
      <c r="O14" s="41"/>
    </row>
    <row r="15" spans="1:16" s="9" customFormat="1" ht="20.149999999999999" customHeight="1" x14ac:dyDescent="0.35">
      <c r="B15" s="339" t="s">
        <v>34</v>
      </c>
      <c r="C15" s="341" t="s">
        <v>35</v>
      </c>
      <c r="D15" s="341"/>
      <c r="E15" s="347" t="s">
        <v>36</v>
      </c>
      <c r="F15" s="347"/>
      <c r="G15" s="347"/>
      <c r="H15" s="347"/>
      <c r="I15" s="341" t="s">
        <v>37</v>
      </c>
      <c r="J15" s="343"/>
      <c r="K15" s="6"/>
      <c r="L15" s="6"/>
      <c r="M15" s="6"/>
      <c r="N15" s="41"/>
      <c r="O15" s="41"/>
    </row>
    <row r="16" spans="1:16" s="9" customFormat="1" ht="20.149999999999999" customHeight="1" x14ac:dyDescent="0.35">
      <c r="B16" s="340"/>
      <c r="C16" s="342"/>
      <c r="D16" s="342"/>
      <c r="E16" s="348" t="s">
        <v>38</v>
      </c>
      <c r="F16" s="348"/>
      <c r="G16" s="348" t="s">
        <v>39</v>
      </c>
      <c r="H16" s="348"/>
      <c r="I16" s="342"/>
      <c r="J16" s="344"/>
      <c r="K16" s="6"/>
      <c r="L16" s="6"/>
      <c r="M16" s="6"/>
      <c r="N16" s="41"/>
      <c r="O16" s="41"/>
    </row>
    <row r="17" spans="2:20" s="9" customFormat="1" ht="20.149999999999999" customHeight="1" x14ac:dyDescent="0.35">
      <c r="B17" s="181">
        <f>F9</f>
        <v>50</v>
      </c>
      <c r="C17" s="346">
        <f>IF(F9&gt;F8,FV(F10,F9-F8,,-F5),F5)</f>
        <v>44079842.304000013</v>
      </c>
      <c r="D17" s="345"/>
      <c r="E17" s="345">
        <f>IF(F9&gt;F8,FV(F7,F9-F8,,-F6)*12,12*F6)</f>
        <v>2408806.0396800009</v>
      </c>
      <c r="F17" s="345"/>
      <c r="G17" s="345">
        <f>E17/12</f>
        <v>200733.83664000008</v>
      </c>
      <c r="H17" s="345"/>
      <c r="I17" s="345">
        <f>FV($N$9,1,,-(C17-E17))</f>
        <v>46671560.616038412</v>
      </c>
      <c r="J17" s="345"/>
      <c r="K17" s="6"/>
      <c r="L17" s="6"/>
      <c r="M17" s="6"/>
      <c r="N17" s="41"/>
      <c r="O17" s="41"/>
      <c r="P17" s="41" t="b">
        <f t="shared" ref="P17:P48" si="0">B17=""</f>
        <v>0</v>
      </c>
      <c r="Q17" s="9">
        <f>P17*1</f>
        <v>0</v>
      </c>
      <c r="T17" s="9">
        <f t="shared" ref="T17:T48" si="1">IF(ISBLANK(I17),0,IF(I17&gt;=$F$5,0,1))</f>
        <v>0</v>
      </c>
    </row>
    <row r="18" spans="2:20" s="9" customFormat="1" ht="20.149999999999999" customHeight="1" x14ac:dyDescent="0.35">
      <c r="B18" s="182">
        <f>IF(OR(I17&lt;=0,B17=""),"",B17+1)</f>
        <v>51</v>
      </c>
      <c r="C18" s="335">
        <f>IF(I17&lt;=0,"",I17)</f>
        <v>46671560.616038412</v>
      </c>
      <c r="D18" s="335"/>
      <c r="E18" s="335">
        <f t="shared" ref="E18:E49" si="2">IF(C18="","",E17*(1+$F$7))</f>
        <v>2553334.4020608012</v>
      </c>
      <c r="F18" s="335"/>
      <c r="G18" s="335">
        <f>IF(E18="","",E18/12)</f>
        <v>212777.86683840011</v>
      </c>
      <c r="H18" s="335"/>
      <c r="I18" s="335">
        <f t="shared" ref="I18:I49" si="3">IF(G18="","",FV($N$9,1,,-(C18-E18)))</f>
        <v>49412413.359654933</v>
      </c>
      <c r="J18" s="335"/>
      <c r="K18" s="6"/>
      <c r="L18" s="6"/>
      <c r="M18" s="6"/>
      <c r="N18" s="41"/>
      <c r="O18" s="41"/>
      <c r="P18" s="41" t="b">
        <f t="shared" si="0"/>
        <v>0</v>
      </c>
      <c r="Q18" s="9">
        <f t="shared" ref="Q18:Q66" si="4">P18*1</f>
        <v>0</v>
      </c>
      <c r="T18" s="9">
        <f t="shared" si="1"/>
        <v>0</v>
      </c>
    </row>
    <row r="19" spans="2:20" s="9" customFormat="1" ht="20.149999999999999" customHeight="1" x14ac:dyDescent="0.35">
      <c r="B19" s="183">
        <f t="shared" ref="B19:B66" si="5">IF(OR(I18&lt;=0,B18=""),"",B18+1)</f>
        <v>52</v>
      </c>
      <c r="C19" s="334">
        <f t="shared" ref="C19:C66" si="6">IF(I18&lt;=0,"",I18)</f>
        <v>49412413.359654933</v>
      </c>
      <c r="D19" s="334"/>
      <c r="E19" s="334">
        <f t="shared" si="2"/>
        <v>2706534.4661844494</v>
      </c>
      <c r="F19" s="334"/>
      <c r="G19" s="334">
        <f t="shared" ref="G19:G66" si="7">IF(E19="","",E19/12)</f>
        <v>225544.53884870411</v>
      </c>
      <c r="H19" s="334"/>
      <c r="I19" s="331">
        <f t="shared" si="3"/>
        <v>52310584.360686943</v>
      </c>
      <c r="J19" s="332"/>
      <c r="K19" s="6"/>
      <c r="L19" s="6"/>
      <c r="M19" s="6"/>
      <c r="N19" s="41"/>
      <c r="O19" s="41"/>
      <c r="P19" s="41" t="b">
        <f t="shared" si="0"/>
        <v>0</v>
      </c>
      <c r="Q19" s="9">
        <f t="shared" si="4"/>
        <v>0</v>
      </c>
      <c r="T19" s="9">
        <f t="shared" si="1"/>
        <v>0</v>
      </c>
    </row>
    <row r="20" spans="2:20" s="9" customFormat="1" ht="20.149999999999999" customHeight="1" x14ac:dyDescent="0.35">
      <c r="B20" s="182">
        <f t="shared" si="5"/>
        <v>53</v>
      </c>
      <c r="C20" s="335">
        <f t="shared" si="6"/>
        <v>52310584.360686943</v>
      </c>
      <c r="D20" s="335"/>
      <c r="E20" s="335">
        <f t="shared" si="2"/>
        <v>2868926.5341555164</v>
      </c>
      <c r="F20" s="335"/>
      <c r="G20" s="335">
        <f t="shared" si="7"/>
        <v>239077.21117962638</v>
      </c>
      <c r="H20" s="335"/>
      <c r="I20" s="329">
        <f t="shared" si="3"/>
        <v>55374656.765715204</v>
      </c>
      <c r="J20" s="330"/>
      <c r="K20" s="6"/>
      <c r="L20" s="6"/>
      <c r="M20" s="6"/>
      <c r="N20" s="41"/>
      <c r="O20" s="41"/>
      <c r="P20" s="41" t="b">
        <f t="shared" si="0"/>
        <v>0</v>
      </c>
      <c r="Q20" s="9">
        <f t="shared" si="4"/>
        <v>0</v>
      </c>
      <c r="T20" s="9">
        <f t="shared" si="1"/>
        <v>0</v>
      </c>
    </row>
    <row r="21" spans="2:20" s="9" customFormat="1" ht="20.149999999999999" customHeight="1" x14ac:dyDescent="0.35">
      <c r="B21" s="183">
        <f t="shared" si="5"/>
        <v>54</v>
      </c>
      <c r="C21" s="334">
        <f t="shared" si="6"/>
        <v>55374656.765715204</v>
      </c>
      <c r="D21" s="334"/>
      <c r="E21" s="334">
        <f t="shared" si="2"/>
        <v>3041062.1262048474</v>
      </c>
      <c r="F21" s="334"/>
      <c r="G21" s="334">
        <f t="shared" si="7"/>
        <v>253421.84385040394</v>
      </c>
      <c r="H21" s="334"/>
      <c r="I21" s="331">
        <f t="shared" si="3"/>
        <v>58613625.996251605</v>
      </c>
      <c r="J21" s="332"/>
      <c r="K21" s="6"/>
      <c r="L21" s="6"/>
      <c r="M21" s="6"/>
      <c r="N21" s="41"/>
      <c r="O21" s="41"/>
      <c r="P21" s="41" t="b">
        <f t="shared" si="0"/>
        <v>0</v>
      </c>
      <c r="Q21" s="9">
        <f t="shared" si="4"/>
        <v>0</v>
      </c>
      <c r="T21" s="9">
        <f t="shared" si="1"/>
        <v>0</v>
      </c>
    </row>
    <row r="22" spans="2:20" s="9" customFormat="1" ht="20.149999999999999" customHeight="1" x14ac:dyDescent="0.35">
      <c r="B22" s="182">
        <f t="shared" si="5"/>
        <v>55</v>
      </c>
      <c r="C22" s="335">
        <f t="shared" si="6"/>
        <v>58613625.996251605</v>
      </c>
      <c r="D22" s="335"/>
      <c r="E22" s="335">
        <f t="shared" si="2"/>
        <v>3223525.8537771385</v>
      </c>
      <c r="F22" s="335"/>
      <c r="G22" s="335">
        <f t="shared" si="7"/>
        <v>268627.15448142821</v>
      </c>
      <c r="H22" s="335"/>
      <c r="I22" s="329">
        <f t="shared" si="3"/>
        <v>62036912.159571409</v>
      </c>
      <c r="J22" s="330"/>
      <c r="K22" s="6"/>
      <c r="L22" s="6"/>
      <c r="M22" s="6"/>
      <c r="N22" s="41"/>
      <c r="O22" s="41"/>
      <c r="P22" s="41" t="b">
        <f t="shared" si="0"/>
        <v>0</v>
      </c>
      <c r="Q22" s="9">
        <f t="shared" si="4"/>
        <v>0</v>
      </c>
      <c r="T22" s="9">
        <f t="shared" si="1"/>
        <v>0</v>
      </c>
    </row>
    <row r="23" spans="2:20" s="9" customFormat="1" ht="20.149999999999999" customHeight="1" x14ac:dyDescent="0.35">
      <c r="B23" s="183">
        <f t="shared" si="5"/>
        <v>56</v>
      </c>
      <c r="C23" s="334">
        <f t="shared" si="6"/>
        <v>62036912.159571409</v>
      </c>
      <c r="D23" s="334"/>
      <c r="E23" s="334">
        <f t="shared" si="2"/>
        <v>3416937.405003767</v>
      </c>
      <c r="F23" s="334"/>
      <c r="G23" s="334">
        <f t="shared" si="7"/>
        <v>284744.78375031392</v>
      </c>
      <c r="H23" s="334"/>
      <c r="I23" s="331">
        <f t="shared" si="3"/>
        <v>65654371.725115769</v>
      </c>
      <c r="J23" s="332"/>
      <c r="N23" s="41"/>
      <c r="O23" s="41"/>
      <c r="P23" s="41" t="b">
        <f t="shared" si="0"/>
        <v>0</v>
      </c>
      <c r="Q23" s="9">
        <f t="shared" si="4"/>
        <v>0</v>
      </c>
      <c r="T23" s="9">
        <f t="shared" si="1"/>
        <v>0</v>
      </c>
    </row>
    <row r="24" spans="2:20" s="9" customFormat="1" ht="20.149999999999999" customHeight="1" x14ac:dyDescent="0.35">
      <c r="B24" s="182">
        <f t="shared" si="5"/>
        <v>57</v>
      </c>
      <c r="C24" s="335">
        <f t="shared" si="6"/>
        <v>65654371.725115769</v>
      </c>
      <c r="D24" s="335"/>
      <c r="E24" s="335">
        <f t="shared" si="2"/>
        <v>3621953.6493039932</v>
      </c>
      <c r="F24" s="335"/>
      <c r="G24" s="335">
        <f t="shared" si="7"/>
        <v>301829.47077533277</v>
      </c>
      <c r="H24" s="335"/>
      <c r="I24" s="329">
        <f t="shared" si="3"/>
        <v>69476308.244909197</v>
      </c>
      <c r="J24" s="330"/>
      <c r="N24" s="41"/>
      <c r="O24" s="41"/>
      <c r="P24" s="41" t="b">
        <f t="shared" si="0"/>
        <v>0</v>
      </c>
      <c r="Q24" s="9">
        <f t="shared" si="4"/>
        <v>0</v>
      </c>
      <c r="T24" s="9">
        <f t="shared" si="1"/>
        <v>0</v>
      </c>
    </row>
    <row r="25" spans="2:20" s="9" customFormat="1" ht="20.149999999999999" customHeight="1" x14ac:dyDescent="0.35">
      <c r="B25" s="183">
        <f t="shared" si="5"/>
        <v>58</v>
      </c>
      <c r="C25" s="334">
        <f t="shared" si="6"/>
        <v>69476308.244909197</v>
      </c>
      <c r="D25" s="334"/>
      <c r="E25" s="334">
        <f t="shared" si="2"/>
        <v>3839270.8682622332</v>
      </c>
      <c r="F25" s="334"/>
      <c r="G25" s="334">
        <f t="shared" si="7"/>
        <v>319939.23902185279</v>
      </c>
      <c r="H25" s="334"/>
      <c r="I25" s="331">
        <f t="shared" si="3"/>
        <v>73513481.861844614</v>
      </c>
      <c r="J25" s="332"/>
      <c r="N25" s="41"/>
      <c r="O25" s="41"/>
      <c r="P25" s="41" t="b">
        <f t="shared" si="0"/>
        <v>0</v>
      </c>
      <c r="Q25" s="9">
        <f t="shared" si="4"/>
        <v>0</v>
      </c>
      <c r="T25" s="9">
        <f t="shared" si="1"/>
        <v>0</v>
      </c>
    </row>
    <row r="26" spans="2:20" s="9" customFormat="1" ht="20.149999999999999" customHeight="1" x14ac:dyDescent="0.35">
      <c r="B26" s="182">
        <f t="shared" si="5"/>
        <v>59</v>
      </c>
      <c r="C26" s="335">
        <f t="shared" si="6"/>
        <v>73513481.861844614</v>
      </c>
      <c r="D26" s="335"/>
      <c r="E26" s="335">
        <f t="shared" si="2"/>
        <v>4069627.1203579674</v>
      </c>
      <c r="F26" s="335"/>
      <c r="G26" s="335">
        <f t="shared" si="7"/>
        <v>339135.59336316393</v>
      </c>
      <c r="H26" s="335"/>
      <c r="I26" s="329">
        <f t="shared" si="3"/>
        <v>77777117.310465053</v>
      </c>
      <c r="J26" s="330"/>
      <c r="N26" s="41"/>
      <c r="O26" s="41"/>
      <c r="P26" s="41" t="b">
        <f t="shared" si="0"/>
        <v>0</v>
      </c>
      <c r="Q26" s="9">
        <f t="shared" si="4"/>
        <v>0</v>
      </c>
      <c r="T26" s="9">
        <f t="shared" si="1"/>
        <v>0</v>
      </c>
    </row>
    <row r="27" spans="2:20" ht="20.149999999999999" customHeight="1" x14ac:dyDescent="0.35">
      <c r="B27" s="183">
        <f t="shared" si="5"/>
        <v>60</v>
      </c>
      <c r="C27" s="334">
        <f t="shared" si="6"/>
        <v>77777117.310465053</v>
      </c>
      <c r="D27" s="334"/>
      <c r="E27" s="334">
        <f t="shared" si="2"/>
        <v>4313804.7475794461</v>
      </c>
      <c r="F27" s="334"/>
      <c r="G27" s="334">
        <f t="shared" si="7"/>
        <v>359483.72896495386</v>
      </c>
      <c r="H27" s="334"/>
      <c r="I27" s="331">
        <f t="shared" si="3"/>
        <v>82278910.070431888</v>
      </c>
      <c r="J27" s="332"/>
      <c r="N27" s="41"/>
      <c r="O27" s="41"/>
      <c r="P27" s="41" t="b">
        <f t="shared" si="0"/>
        <v>0</v>
      </c>
      <c r="Q27" s="9">
        <f t="shared" si="4"/>
        <v>0</v>
      </c>
      <c r="R27" s="9"/>
      <c r="S27" s="9"/>
      <c r="T27" s="9">
        <f t="shared" si="1"/>
        <v>0</v>
      </c>
    </row>
    <row r="28" spans="2:20" ht="20.149999999999999" customHeight="1" x14ac:dyDescent="0.35">
      <c r="B28" s="182">
        <f t="shared" si="5"/>
        <v>61</v>
      </c>
      <c r="C28" s="335">
        <f t="shared" si="6"/>
        <v>82278910.070431888</v>
      </c>
      <c r="D28" s="335"/>
      <c r="E28" s="335">
        <f t="shared" si="2"/>
        <v>4572633.032434213</v>
      </c>
      <c r="F28" s="335"/>
      <c r="G28" s="335">
        <f t="shared" si="7"/>
        <v>381052.75270285108</v>
      </c>
      <c r="H28" s="335"/>
      <c r="I28" s="329">
        <f t="shared" si="3"/>
        <v>87031030.282557413</v>
      </c>
      <c r="J28" s="330"/>
      <c r="N28" s="41"/>
      <c r="O28" s="41"/>
      <c r="P28" s="41" t="b">
        <f t="shared" si="0"/>
        <v>0</v>
      </c>
      <c r="Q28" s="9">
        <f t="shared" si="4"/>
        <v>0</v>
      </c>
      <c r="R28" s="9"/>
      <c r="S28" s="9"/>
      <c r="T28" s="9">
        <f t="shared" si="1"/>
        <v>0</v>
      </c>
    </row>
    <row r="29" spans="2:20" ht="20.149999999999999" customHeight="1" x14ac:dyDescent="0.35">
      <c r="B29" s="183">
        <f t="shared" si="5"/>
        <v>62</v>
      </c>
      <c r="C29" s="334">
        <f t="shared" si="6"/>
        <v>87031030.282557413</v>
      </c>
      <c r="D29" s="334"/>
      <c r="E29" s="334">
        <f t="shared" si="2"/>
        <v>4846991.014380266</v>
      </c>
      <c r="F29" s="334"/>
      <c r="G29" s="334">
        <f t="shared" si="7"/>
        <v>403915.91786502214</v>
      </c>
      <c r="H29" s="334"/>
      <c r="I29" s="331">
        <f t="shared" si="3"/>
        <v>92046123.980358422</v>
      </c>
      <c r="J29" s="332"/>
      <c r="N29" s="41"/>
      <c r="O29" s="41"/>
      <c r="P29" s="41" t="b">
        <f t="shared" si="0"/>
        <v>0</v>
      </c>
      <c r="Q29" s="9">
        <f t="shared" si="4"/>
        <v>0</v>
      </c>
      <c r="R29" s="9"/>
      <c r="S29" s="9"/>
      <c r="T29" s="9">
        <f t="shared" si="1"/>
        <v>0</v>
      </c>
    </row>
    <row r="30" spans="2:20" ht="20.149999999999999" customHeight="1" x14ac:dyDescent="0.35">
      <c r="B30" s="182">
        <f t="shared" si="5"/>
        <v>63</v>
      </c>
      <c r="C30" s="335">
        <f t="shared" si="6"/>
        <v>92046123.980358422</v>
      </c>
      <c r="D30" s="335"/>
      <c r="E30" s="335">
        <f t="shared" si="2"/>
        <v>5137810.4752430823</v>
      </c>
      <c r="F30" s="335"/>
      <c r="G30" s="335">
        <f t="shared" si="7"/>
        <v>428150.87293692352</v>
      </c>
      <c r="H30" s="335"/>
      <c r="I30" s="329">
        <f t="shared" si="3"/>
        <v>97337311.125729203</v>
      </c>
      <c r="J30" s="330"/>
      <c r="N30" s="41"/>
      <c r="O30" s="41"/>
      <c r="P30" s="41" t="b">
        <f t="shared" si="0"/>
        <v>0</v>
      </c>
      <c r="Q30" s="9">
        <f t="shared" si="4"/>
        <v>0</v>
      </c>
      <c r="T30" s="9">
        <f t="shared" si="1"/>
        <v>0</v>
      </c>
    </row>
    <row r="31" spans="2:20" ht="20.149999999999999" customHeight="1" x14ac:dyDescent="0.35">
      <c r="B31" s="183">
        <f t="shared" si="5"/>
        <v>64</v>
      </c>
      <c r="C31" s="334">
        <f t="shared" si="6"/>
        <v>97337311.125729203</v>
      </c>
      <c r="D31" s="334"/>
      <c r="E31" s="334">
        <f t="shared" si="2"/>
        <v>5446079.1037576674</v>
      </c>
      <c r="F31" s="334"/>
      <c r="G31" s="334">
        <f t="shared" si="7"/>
        <v>453839.92531313893</v>
      </c>
      <c r="H31" s="334"/>
      <c r="I31" s="331">
        <f t="shared" si="3"/>
        <v>102918179.86460814</v>
      </c>
      <c r="J31" s="332"/>
      <c r="N31" s="41"/>
      <c r="O31" s="41"/>
      <c r="P31" s="41" t="b">
        <f t="shared" si="0"/>
        <v>0</v>
      </c>
      <c r="Q31" s="9">
        <f t="shared" si="4"/>
        <v>0</v>
      </c>
      <c r="T31" s="9">
        <f t="shared" si="1"/>
        <v>0</v>
      </c>
    </row>
    <row r="32" spans="2:20" ht="20.149999999999999" customHeight="1" x14ac:dyDescent="0.35">
      <c r="B32" s="182">
        <f t="shared" si="5"/>
        <v>65</v>
      </c>
      <c r="C32" s="335">
        <f t="shared" si="6"/>
        <v>102918179.86460814</v>
      </c>
      <c r="D32" s="335"/>
      <c r="E32" s="335">
        <f t="shared" si="2"/>
        <v>5772843.8499831278</v>
      </c>
      <c r="F32" s="335"/>
      <c r="G32" s="335">
        <f t="shared" si="7"/>
        <v>481070.3208319273</v>
      </c>
      <c r="H32" s="335"/>
      <c r="I32" s="329">
        <f t="shared" si="3"/>
        <v>108802776.33638002</v>
      </c>
      <c r="J32" s="330"/>
      <c r="N32" s="41"/>
      <c r="O32" s="41"/>
      <c r="P32" s="41" t="b">
        <f t="shared" si="0"/>
        <v>0</v>
      </c>
      <c r="Q32" s="9">
        <f t="shared" si="4"/>
        <v>0</v>
      </c>
      <c r="T32" s="9">
        <f t="shared" si="1"/>
        <v>0</v>
      </c>
    </row>
    <row r="33" spans="2:20" ht="20.149999999999999" customHeight="1" x14ac:dyDescent="0.35">
      <c r="B33" s="183">
        <f t="shared" si="5"/>
        <v>66</v>
      </c>
      <c r="C33" s="334">
        <f t="shared" si="6"/>
        <v>108802776.33638002</v>
      </c>
      <c r="D33" s="334"/>
      <c r="E33" s="334">
        <f t="shared" si="2"/>
        <v>6119214.4809821155</v>
      </c>
      <c r="F33" s="334"/>
      <c r="G33" s="334">
        <f t="shared" si="7"/>
        <v>509934.54008184298</v>
      </c>
      <c r="H33" s="334"/>
      <c r="I33" s="331">
        <f t="shared" si="3"/>
        <v>115005589.27804567</v>
      </c>
      <c r="J33" s="332"/>
      <c r="N33" s="41"/>
      <c r="O33" s="41"/>
      <c r="P33" s="41" t="b">
        <f t="shared" si="0"/>
        <v>0</v>
      </c>
      <c r="Q33" s="9">
        <f t="shared" si="4"/>
        <v>0</v>
      </c>
      <c r="T33" s="9">
        <f t="shared" si="1"/>
        <v>0</v>
      </c>
    </row>
    <row r="34" spans="2:20" ht="20.149999999999999" customHeight="1" x14ac:dyDescent="0.35">
      <c r="B34" s="182">
        <f t="shared" si="5"/>
        <v>67</v>
      </c>
      <c r="C34" s="335">
        <f t="shared" si="6"/>
        <v>115005589.27804567</v>
      </c>
      <c r="D34" s="335"/>
      <c r="E34" s="335">
        <f t="shared" si="2"/>
        <v>6486367.3498410424</v>
      </c>
      <c r="F34" s="335"/>
      <c r="G34" s="335">
        <f t="shared" si="7"/>
        <v>540530.6124867535</v>
      </c>
      <c r="H34" s="335"/>
      <c r="I34" s="329">
        <f t="shared" si="3"/>
        <v>121541528.55958919</v>
      </c>
      <c r="J34" s="330"/>
      <c r="N34" s="41"/>
      <c r="O34" s="41"/>
      <c r="P34" s="41" t="b">
        <f t="shared" si="0"/>
        <v>0</v>
      </c>
      <c r="Q34" s="9">
        <f t="shared" si="4"/>
        <v>0</v>
      </c>
      <c r="T34" s="9">
        <f t="shared" si="1"/>
        <v>0</v>
      </c>
    </row>
    <row r="35" spans="2:20" ht="20.149999999999999" customHeight="1" x14ac:dyDescent="0.35">
      <c r="B35" s="183">
        <f t="shared" si="5"/>
        <v>68</v>
      </c>
      <c r="C35" s="334">
        <f t="shared" si="6"/>
        <v>121541528.55958919</v>
      </c>
      <c r="D35" s="334"/>
      <c r="E35" s="334">
        <f t="shared" si="2"/>
        <v>6875549.3908315049</v>
      </c>
      <c r="F35" s="334"/>
      <c r="G35" s="334">
        <f t="shared" si="7"/>
        <v>572962.44923595875</v>
      </c>
      <c r="H35" s="334"/>
      <c r="I35" s="331">
        <f t="shared" si="3"/>
        <v>128425896.66900863</v>
      </c>
      <c r="J35" s="332"/>
      <c r="N35" s="41"/>
      <c r="O35" s="41"/>
      <c r="P35" s="41" t="b">
        <f t="shared" si="0"/>
        <v>0</v>
      </c>
      <c r="Q35" s="9">
        <f t="shared" si="4"/>
        <v>0</v>
      </c>
      <c r="T35" s="9">
        <f t="shared" si="1"/>
        <v>0</v>
      </c>
    </row>
    <row r="36" spans="2:20" ht="20.149999999999999" customHeight="1" x14ac:dyDescent="0.35">
      <c r="B36" s="182">
        <f t="shared" si="5"/>
        <v>69</v>
      </c>
      <c r="C36" s="335">
        <f t="shared" si="6"/>
        <v>128425896.66900863</v>
      </c>
      <c r="D36" s="335"/>
      <c r="E36" s="335">
        <f t="shared" si="2"/>
        <v>7288082.3542813957</v>
      </c>
      <c r="F36" s="335"/>
      <c r="G36" s="335">
        <f t="shared" si="7"/>
        <v>607340.19619011634</v>
      </c>
      <c r="H36" s="335"/>
      <c r="I36" s="329">
        <f t="shared" si="3"/>
        <v>135674352.03249452</v>
      </c>
      <c r="J36" s="330"/>
      <c r="N36" s="41"/>
      <c r="O36" s="41"/>
      <c r="P36" s="41" t="b">
        <f t="shared" si="0"/>
        <v>0</v>
      </c>
      <c r="Q36" s="9">
        <f t="shared" si="4"/>
        <v>0</v>
      </c>
      <c r="T36" s="9">
        <f t="shared" si="1"/>
        <v>0</v>
      </c>
    </row>
    <row r="37" spans="2:20" ht="20.149999999999999" customHeight="1" x14ac:dyDescent="0.35">
      <c r="B37" s="183">
        <f t="shared" si="5"/>
        <v>70</v>
      </c>
      <c r="C37" s="334">
        <f t="shared" si="6"/>
        <v>135674352.03249452</v>
      </c>
      <c r="D37" s="334"/>
      <c r="E37" s="334">
        <f t="shared" si="2"/>
        <v>7725367.2955382802</v>
      </c>
      <c r="F37" s="334"/>
      <c r="G37" s="334">
        <f t="shared" si="7"/>
        <v>643780.60796152335</v>
      </c>
      <c r="H37" s="334"/>
      <c r="I37" s="331">
        <f t="shared" si="3"/>
        <v>143302862.90539101</v>
      </c>
      <c r="J37" s="332"/>
      <c r="N37" s="41"/>
      <c r="O37" s="41"/>
      <c r="P37" s="41" t="b">
        <f t="shared" si="0"/>
        <v>0</v>
      </c>
      <c r="Q37" s="9">
        <f t="shared" si="4"/>
        <v>0</v>
      </c>
      <c r="T37" s="9">
        <f t="shared" si="1"/>
        <v>0</v>
      </c>
    </row>
    <row r="38" spans="2:20" ht="20.149999999999999" customHeight="1" x14ac:dyDescent="0.35">
      <c r="B38" s="182">
        <f t="shared" si="5"/>
        <v>71</v>
      </c>
      <c r="C38" s="335">
        <f t="shared" si="6"/>
        <v>143302862.90539101</v>
      </c>
      <c r="D38" s="335"/>
      <c r="E38" s="335">
        <f t="shared" si="2"/>
        <v>8188889.3332705777</v>
      </c>
      <c r="F38" s="335"/>
      <c r="G38" s="335">
        <f t="shared" si="7"/>
        <v>682407.44443921477</v>
      </c>
      <c r="H38" s="335"/>
      <c r="I38" s="329">
        <f t="shared" si="3"/>
        <v>151327650.4007749</v>
      </c>
      <c r="J38" s="330"/>
      <c r="N38" s="41"/>
      <c r="O38" s="41"/>
      <c r="P38" s="41" t="b">
        <f t="shared" si="0"/>
        <v>0</v>
      </c>
      <c r="Q38" s="9">
        <f t="shared" si="4"/>
        <v>0</v>
      </c>
      <c r="T38" s="9">
        <f t="shared" si="1"/>
        <v>0</v>
      </c>
    </row>
    <row r="39" spans="2:20" ht="20.149999999999999" customHeight="1" x14ac:dyDescent="0.35">
      <c r="B39" s="183">
        <f t="shared" si="5"/>
        <v>72</v>
      </c>
      <c r="C39" s="334">
        <f t="shared" si="6"/>
        <v>151327650.4007749</v>
      </c>
      <c r="D39" s="334"/>
      <c r="E39" s="334">
        <f t="shared" si="2"/>
        <v>8680222.6932668127</v>
      </c>
      <c r="F39" s="334"/>
      <c r="G39" s="334">
        <f t="shared" si="7"/>
        <v>723351.89110556769</v>
      </c>
      <c r="H39" s="334"/>
      <c r="I39" s="331">
        <f t="shared" si="3"/>
        <v>159765119.03240907</v>
      </c>
      <c r="J39" s="332"/>
      <c r="N39" s="41"/>
      <c r="O39" s="41"/>
      <c r="P39" s="41" t="b">
        <f t="shared" si="0"/>
        <v>0</v>
      </c>
      <c r="Q39" s="9">
        <f t="shared" si="4"/>
        <v>0</v>
      </c>
      <c r="T39" s="9">
        <f t="shared" si="1"/>
        <v>0</v>
      </c>
    </row>
    <row r="40" spans="2:20" ht="20.149999999999999" customHeight="1" x14ac:dyDescent="0.35">
      <c r="B40" s="182">
        <f t="shared" si="5"/>
        <v>73</v>
      </c>
      <c r="C40" s="335">
        <f t="shared" si="6"/>
        <v>159765119.03240907</v>
      </c>
      <c r="D40" s="335"/>
      <c r="E40" s="335">
        <f t="shared" si="2"/>
        <v>9201036.0548628215</v>
      </c>
      <c r="F40" s="335"/>
      <c r="G40" s="335">
        <f t="shared" si="7"/>
        <v>766753.00457190175</v>
      </c>
      <c r="H40" s="335"/>
      <c r="I40" s="329">
        <f t="shared" si="3"/>
        <v>168631772.9348518</v>
      </c>
      <c r="J40" s="330"/>
      <c r="N40" s="41"/>
      <c r="O40" s="41"/>
      <c r="P40" s="41" t="b">
        <f t="shared" si="0"/>
        <v>0</v>
      </c>
      <c r="Q40" s="9">
        <f t="shared" si="4"/>
        <v>0</v>
      </c>
      <c r="T40" s="9">
        <f t="shared" si="1"/>
        <v>0</v>
      </c>
    </row>
    <row r="41" spans="2:20" ht="20.149999999999999" customHeight="1" x14ac:dyDescent="0.35">
      <c r="B41" s="183">
        <f t="shared" si="5"/>
        <v>74</v>
      </c>
      <c r="C41" s="334">
        <f t="shared" si="6"/>
        <v>168631772.9348518</v>
      </c>
      <c r="D41" s="334"/>
      <c r="E41" s="334">
        <f t="shared" si="2"/>
        <v>9753098.2181545906</v>
      </c>
      <c r="F41" s="334"/>
      <c r="G41" s="334">
        <f t="shared" si="7"/>
        <v>812758.18484621588</v>
      </c>
      <c r="H41" s="334"/>
      <c r="I41" s="331">
        <f t="shared" si="3"/>
        <v>177944115.6827009</v>
      </c>
      <c r="J41" s="332"/>
      <c r="N41" s="41"/>
      <c r="O41" s="41"/>
      <c r="P41" s="41" t="b">
        <f t="shared" si="0"/>
        <v>0</v>
      </c>
      <c r="Q41" s="9">
        <f t="shared" si="4"/>
        <v>0</v>
      </c>
      <c r="T41" s="9">
        <f t="shared" si="1"/>
        <v>0</v>
      </c>
    </row>
    <row r="42" spans="2:20" ht="20.149999999999999" customHeight="1" x14ac:dyDescent="0.35">
      <c r="B42" s="182">
        <f t="shared" si="5"/>
        <v>75</v>
      </c>
      <c r="C42" s="335">
        <f t="shared" si="6"/>
        <v>177944115.6827009</v>
      </c>
      <c r="D42" s="335"/>
      <c r="E42" s="335">
        <f t="shared" si="2"/>
        <v>10338284.111243866</v>
      </c>
      <c r="F42" s="335"/>
      <c r="G42" s="335">
        <f t="shared" si="7"/>
        <v>861523.6759369889</v>
      </c>
      <c r="H42" s="335"/>
      <c r="I42" s="329">
        <f t="shared" si="3"/>
        <v>187718531.3600319</v>
      </c>
      <c r="J42" s="330"/>
      <c r="N42" s="41"/>
      <c r="O42" s="41"/>
      <c r="P42" s="41" t="b">
        <f t="shared" si="0"/>
        <v>0</v>
      </c>
      <c r="Q42" s="9">
        <f t="shared" si="4"/>
        <v>0</v>
      </c>
      <c r="T42" s="9">
        <f t="shared" si="1"/>
        <v>0</v>
      </c>
    </row>
    <row r="43" spans="2:20" ht="20.149999999999999" customHeight="1" x14ac:dyDescent="0.35">
      <c r="B43" s="183">
        <f t="shared" si="5"/>
        <v>76</v>
      </c>
      <c r="C43" s="334">
        <f t="shared" si="6"/>
        <v>187718531.3600319</v>
      </c>
      <c r="D43" s="334"/>
      <c r="E43" s="334">
        <f t="shared" si="2"/>
        <v>10958581.1579185</v>
      </c>
      <c r="F43" s="334"/>
      <c r="G43" s="334">
        <f t="shared" si="7"/>
        <v>913215.09649320832</v>
      </c>
      <c r="H43" s="334"/>
      <c r="I43" s="331">
        <f t="shared" si="3"/>
        <v>197971144.22636703</v>
      </c>
      <c r="J43" s="332"/>
      <c r="N43" s="41"/>
      <c r="O43" s="41"/>
      <c r="P43" s="41" t="b">
        <f t="shared" si="0"/>
        <v>0</v>
      </c>
      <c r="Q43" s="9">
        <f t="shared" si="4"/>
        <v>0</v>
      </c>
      <c r="T43" s="9">
        <f t="shared" si="1"/>
        <v>0</v>
      </c>
    </row>
    <row r="44" spans="2:20" ht="20.149999999999999" customHeight="1" x14ac:dyDescent="0.35">
      <c r="B44" s="182">
        <f t="shared" si="5"/>
        <v>77</v>
      </c>
      <c r="C44" s="335">
        <f t="shared" si="6"/>
        <v>197971144.22636703</v>
      </c>
      <c r="D44" s="335"/>
      <c r="E44" s="335">
        <f t="shared" si="2"/>
        <v>11616096.027393611</v>
      </c>
      <c r="F44" s="335"/>
      <c r="G44" s="335">
        <f t="shared" si="7"/>
        <v>968008.00228280097</v>
      </c>
      <c r="H44" s="335"/>
      <c r="I44" s="329">
        <f t="shared" si="3"/>
        <v>208717653.98285025</v>
      </c>
      <c r="J44" s="330"/>
      <c r="N44" s="41"/>
      <c r="O44" s="41"/>
      <c r="P44" s="41" t="b">
        <f t="shared" si="0"/>
        <v>0</v>
      </c>
      <c r="Q44" s="9">
        <f t="shared" si="4"/>
        <v>0</v>
      </c>
      <c r="T44" s="9">
        <f t="shared" si="1"/>
        <v>0</v>
      </c>
    </row>
    <row r="45" spans="2:20" ht="20.149999999999999" customHeight="1" x14ac:dyDescent="0.35">
      <c r="B45" s="183">
        <f t="shared" si="5"/>
        <v>78</v>
      </c>
      <c r="C45" s="334">
        <f t="shared" si="6"/>
        <v>208717653.98285025</v>
      </c>
      <c r="D45" s="334"/>
      <c r="E45" s="334">
        <f t="shared" si="2"/>
        <v>12313061.789037228</v>
      </c>
      <c r="F45" s="334"/>
      <c r="G45" s="334">
        <f t="shared" si="7"/>
        <v>1026088.4824197689</v>
      </c>
      <c r="H45" s="334"/>
      <c r="I45" s="331">
        <f t="shared" si="3"/>
        <v>219973143.2570706</v>
      </c>
      <c r="J45" s="332"/>
      <c r="N45" s="41"/>
      <c r="O45" s="41"/>
      <c r="P45" s="41" t="b">
        <f t="shared" si="0"/>
        <v>0</v>
      </c>
      <c r="Q45" s="9">
        <f t="shared" si="4"/>
        <v>0</v>
      </c>
      <c r="T45" s="9">
        <f t="shared" si="1"/>
        <v>0</v>
      </c>
    </row>
    <row r="46" spans="2:20" ht="20.149999999999999" customHeight="1" x14ac:dyDescent="0.35">
      <c r="B46" s="182">
        <f t="shared" si="5"/>
        <v>79</v>
      </c>
      <c r="C46" s="335">
        <f t="shared" si="6"/>
        <v>219973143.2570706</v>
      </c>
      <c r="D46" s="335"/>
      <c r="E46" s="335">
        <f t="shared" si="2"/>
        <v>13051845.496379461</v>
      </c>
      <c r="F46" s="335"/>
      <c r="G46" s="335">
        <f t="shared" si="7"/>
        <v>1087653.791364955</v>
      </c>
      <c r="H46" s="335"/>
      <c r="I46" s="329">
        <f t="shared" si="3"/>
        <v>231751853.49197409</v>
      </c>
      <c r="J46" s="330"/>
      <c r="N46" s="41"/>
      <c r="O46" s="41"/>
      <c r="P46" s="41" t="b">
        <f t="shared" si="0"/>
        <v>0</v>
      </c>
      <c r="Q46" s="9">
        <f t="shared" si="4"/>
        <v>0</v>
      </c>
      <c r="T46" s="9">
        <f t="shared" si="1"/>
        <v>0</v>
      </c>
    </row>
    <row r="47" spans="2:20" ht="20.149999999999999" customHeight="1" x14ac:dyDescent="0.35">
      <c r="B47" s="183">
        <f t="shared" si="5"/>
        <v>80</v>
      </c>
      <c r="C47" s="334">
        <f t="shared" si="6"/>
        <v>231751853.49197409</v>
      </c>
      <c r="D47" s="334"/>
      <c r="E47" s="334">
        <f t="shared" si="2"/>
        <v>13834956.226162229</v>
      </c>
      <c r="F47" s="334"/>
      <c r="G47" s="334">
        <f t="shared" si="7"/>
        <v>1152913.0188468525</v>
      </c>
      <c r="H47" s="334"/>
      <c r="I47" s="331">
        <f t="shared" si="3"/>
        <v>244066924.9377093</v>
      </c>
      <c r="J47" s="332"/>
      <c r="N47" s="41"/>
      <c r="O47" s="41"/>
      <c r="P47" s="41" t="b">
        <f t="shared" si="0"/>
        <v>0</v>
      </c>
      <c r="Q47" s="9">
        <f t="shared" si="4"/>
        <v>0</v>
      </c>
      <c r="T47" s="9">
        <f t="shared" si="1"/>
        <v>0</v>
      </c>
    </row>
    <row r="48" spans="2:20" ht="20.149999999999999" customHeight="1" x14ac:dyDescent="0.35">
      <c r="B48" s="182">
        <f t="shared" si="5"/>
        <v>81</v>
      </c>
      <c r="C48" s="335">
        <f t="shared" si="6"/>
        <v>244066924.9377093</v>
      </c>
      <c r="D48" s="335"/>
      <c r="E48" s="335">
        <f t="shared" si="2"/>
        <v>14665053.599731963</v>
      </c>
      <c r="F48" s="335"/>
      <c r="G48" s="335">
        <f t="shared" si="7"/>
        <v>1222087.7999776637</v>
      </c>
      <c r="H48" s="335"/>
      <c r="I48" s="329">
        <f t="shared" si="3"/>
        <v>256930095.89853466</v>
      </c>
      <c r="J48" s="330"/>
      <c r="N48" s="41"/>
      <c r="O48" s="41"/>
      <c r="P48" s="41" t="b">
        <f t="shared" si="0"/>
        <v>0</v>
      </c>
      <c r="Q48" s="9">
        <f t="shared" si="4"/>
        <v>0</v>
      </c>
      <c r="T48" s="9">
        <f t="shared" si="1"/>
        <v>0</v>
      </c>
    </row>
    <row r="49" spans="2:20" ht="20.149999999999999" customHeight="1" x14ac:dyDescent="0.35">
      <c r="B49" s="183">
        <f t="shared" si="5"/>
        <v>82</v>
      </c>
      <c r="C49" s="334">
        <f t="shared" si="6"/>
        <v>256930095.89853466</v>
      </c>
      <c r="D49" s="334"/>
      <c r="E49" s="334">
        <f t="shared" si="2"/>
        <v>15544956.815715881</v>
      </c>
      <c r="F49" s="334"/>
      <c r="G49" s="334">
        <f t="shared" si="7"/>
        <v>1295413.0679763234</v>
      </c>
      <c r="H49" s="334"/>
      <c r="I49" s="331">
        <f t="shared" si="3"/>
        <v>270351355.77275705</v>
      </c>
      <c r="J49" s="332"/>
      <c r="N49" s="41"/>
      <c r="O49" s="41"/>
      <c r="P49" s="41" t="b">
        <f t="shared" ref="P49:P66" si="8">B49=""</f>
        <v>0</v>
      </c>
      <c r="Q49" s="9">
        <f t="shared" si="4"/>
        <v>0</v>
      </c>
      <c r="T49" s="9">
        <f t="shared" ref="T49:T66" si="9">IF(ISBLANK(I49),0,IF(I49&gt;=$F$5,0,1))</f>
        <v>0</v>
      </c>
    </row>
    <row r="50" spans="2:20" ht="20.149999999999999" customHeight="1" x14ac:dyDescent="0.35">
      <c r="B50" s="182">
        <f t="shared" si="5"/>
        <v>83</v>
      </c>
      <c r="C50" s="335">
        <f t="shared" si="6"/>
        <v>270351355.77275705</v>
      </c>
      <c r="D50" s="335"/>
      <c r="E50" s="335">
        <f t="shared" ref="E50:E66" si="10">IF(C50="","",E49*(1+$F$7))</f>
        <v>16477654.224658836</v>
      </c>
      <c r="F50" s="335"/>
      <c r="G50" s="335">
        <f t="shared" si="7"/>
        <v>1373137.8520549031</v>
      </c>
      <c r="H50" s="335"/>
      <c r="I50" s="329">
        <f t="shared" ref="I50:I66" si="11">IF(G50="","",FV($N$9,1,,-(C50-E50)))</f>
        <v>284338545.73387003</v>
      </c>
      <c r="J50" s="330"/>
      <c r="N50" s="41"/>
      <c r="O50" s="41"/>
      <c r="P50" s="41" t="b">
        <f t="shared" si="8"/>
        <v>0</v>
      </c>
      <c r="Q50" s="9">
        <f t="shared" si="4"/>
        <v>0</v>
      </c>
      <c r="T50" s="9">
        <f t="shared" si="9"/>
        <v>0</v>
      </c>
    </row>
    <row r="51" spans="2:20" ht="20.149999999999999" customHeight="1" x14ac:dyDescent="0.35">
      <c r="B51" s="183">
        <f t="shared" si="5"/>
        <v>84</v>
      </c>
      <c r="C51" s="334">
        <f t="shared" si="6"/>
        <v>284338545.73387003</v>
      </c>
      <c r="D51" s="334"/>
      <c r="E51" s="334">
        <f t="shared" si="10"/>
        <v>17466313.478138365</v>
      </c>
      <c r="F51" s="334"/>
      <c r="G51" s="334">
        <f t="shared" si="7"/>
        <v>1455526.1231781971</v>
      </c>
      <c r="H51" s="334"/>
      <c r="I51" s="331">
        <f t="shared" si="11"/>
        <v>298896900.12641948</v>
      </c>
      <c r="J51" s="332"/>
      <c r="N51" s="41"/>
      <c r="O51" s="41"/>
      <c r="P51" s="41" t="b">
        <f t="shared" si="8"/>
        <v>0</v>
      </c>
      <c r="Q51" s="9">
        <f t="shared" si="4"/>
        <v>0</v>
      </c>
      <c r="T51" s="9">
        <f t="shared" si="9"/>
        <v>0</v>
      </c>
    </row>
    <row r="52" spans="2:20" ht="20.149999999999999" customHeight="1" x14ac:dyDescent="0.35">
      <c r="B52" s="182">
        <f t="shared" si="5"/>
        <v>85</v>
      </c>
      <c r="C52" s="335">
        <f t="shared" si="6"/>
        <v>298896900.12641948</v>
      </c>
      <c r="D52" s="335"/>
      <c r="E52" s="335">
        <f t="shared" si="10"/>
        <v>18514292.286826666</v>
      </c>
      <c r="F52" s="335"/>
      <c r="G52" s="335">
        <f t="shared" si="7"/>
        <v>1542857.6905688888</v>
      </c>
      <c r="H52" s="335"/>
      <c r="I52" s="329">
        <f t="shared" si="11"/>
        <v>314028520.78034401</v>
      </c>
      <c r="J52" s="330"/>
      <c r="N52" s="41"/>
      <c r="O52" s="41"/>
      <c r="P52" s="41" t="b">
        <f t="shared" si="8"/>
        <v>0</v>
      </c>
      <c r="Q52" s="9">
        <f t="shared" si="4"/>
        <v>0</v>
      </c>
      <c r="T52" s="9">
        <f t="shared" si="9"/>
        <v>0</v>
      </c>
    </row>
    <row r="53" spans="2:20" ht="20.149999999999999" customHeight="1" x14ac:dyDescent="0.35">
      <c r="B53" s="183">
        <f t="shared" si="5"/>
        <v>86</v>
      </c>
      <c r="C53" s="334">
        <f t="shared" si="6"/>
        <v>314028520.78034401</v>
      </c>
      <c r="D53" s="334"/>
      <c r="E53" s="334">
        <f t="shared" si="10"/>
        <v>19625149.824036267</v>
      </c>
      <c r="F53" s="334"/>
      <c r="G53" s="334">
        <f t="shared" si="7"/>
        <v>1635429.1520030221</v>
      </c>
      <c r="H53" s="334"/>
      <c r="I53" s="331">
        <f t="shared" si="11"/>
        <v>329731775.47106475</v>
      </c>
      <c r="J53" s="332"/>
      <c r="N53" s="41"/>
      <c r="O53" s="41"/>
      <c r="P53" s="41" t="b">
        <f t="shared" si="8"/>
        <v>0</v>
      </c>
      <c r="Q53" s="9">
        <f t="shared" si="4"/>
        <v>0</v>
      </c>
      <c r="T53" s="9">
        <f t="shared" si="9"/>
        <v>0</v>
      </c>
    </row>
    <row r="54" spans="2:20" ht="20.149999999999999" customHeight="1" x14ac:dyDescent="0.35">
      <c r="B54" s="182">
        <f t="shared" si="5"/>
        <v>87</v>
      </c>
      <c r="C54" s="335">
        <f t="shared" si="6"/>
        <v>329731775.47106475</v>
      </c>
      <c r="D54" s="335"/>
      <c r="E54" s="335">
        <f t="shared" si="10"/>
        <v>20802658.813478444</v>
      </c>
      <c r="F54" s="335"/>
      <c r="G54" s="335">
        <f t="shared" si="7"/>
        <v>1733554.9011232036</v>
      </c>
      <c r="H54" s="335"/>
      <c r="I54" s="329">
        <f t="shared" si="11"/>
        <v>346000610.65649664</v>
      </c>
      <c r="J54" s="330"/>
      <c r="N54" s="41"/>
      <c r="O54" s="41"/>
      <c r="P54" s="41" t="b">
        <f t="shared" si="8"/>
        <v>0</v>
      </c>
      <c r="Q54" s="9">
        <f t="shared" si="4"/>
        <v>0</v>
      </c>
      <c r="T54" s="9">
        <f t="shared" si="9"/>
        <v>0</v>
      </c>
    </row>
    <row r="55" spans="2:20" ht="20.149999999999999" customHeight="1" x14ac:dyDescent="0.35">
      <c r="B55" s="183">
        <f t="shared" si="5"/>
        <v>88</v>
      </c>
      <c r="C55" s="334">
        <f t="shared" si="6"/>
        <v>346000610.65649664</v>
      </c>
      <c r="D55" s="334"/>
      <c r="E55" s="334">
        <f t="shared" si="10"/>
        <v>22050818.342287153</v>
      </c>
      <c r="F55" s="334"/>
      <c r="G55" s="334">
        <f t="shared" si="7"/>
        <v>1837568.1951905962</v>
      </c>
      <c r="H55" s="334"/>
      <c r="I55" s="331">
        <f t="shared" si="11"/>
        <v>362823767.39191461</v>
      </c>
      <c r="J55" s="332"/>
      <c r="N55" s="41"/>
      <c r="O55" s="41"/>
      <c r="P55" s="41" t="b">
        <f t="shared" si="8"/>
        <v>0</v>
      </c>
      <c r="Q55" s="9">
        <f t="shared" si="4"/>
        <v>0</v>
      </c>
      <c r="T55" s="9">
        <f t="shared" si="9"/>
        <v>0</v>
      </c>
    </row>
    <row r="56" spans="2:20" ht="20.149999999999999" customHeight="1" x14ac:dyDescent="0.35">
      <c r="B56" s="182">
        <f t="shared" si="5"/>
        <v>89</v>
      </c>
      <c r="C56" s="335">
        <f t="shared" si="6"/>
        <v>362823767.39191461</v>
      </c>
      <c r="D56" s="335"/>
      <c r="E56" s="335">
        <f t="shared" si="10"/>
        <v>23373867.442824382</v>
      </c>
      <c r="F56" s="335"/>
      <c r="G56" s="335">
        <f t="shared" si="7"/>
        <v>1947822.2869020319</v>
      </c>
      <c r="H56" s="335"/>
      <c r="I56" s="329">
        <f t="shared" si="11"/>
        <v>380183887.94298112</v>
      </c>
      <c r="J56" s="330"/>
      <c r="N56" s="41"/>
      <c r="O56" s="41"/>
      <c r="P56" s="41" t="b">
        <f t="shared" si="8"/>
        <v>0</v>
      </c>
      <c r="Q56" s="9">
        <f t="shared" si="4"/>
        <v>0</v>
      </c>
      <c r="T56" s="9">
        <f t="shared" si="9"/>
        <v>0</v>
      </c>
    </row>
    <row r="57" spans="2:20" ht="20.149999999999999" customHeight="1" x14ac:dyDescent="0.35">
      <c r="B57" s="183">
        <f t="shared" si="5"/>
        <v>90</v>
      </c>
      <c r="C57" s="334">
        <f t="shared" si="6"/>
        <v>380183887.94298112</v>
      </c>
      <c r="D57" s="334"/>
      <c r="E57" s="334">
        <f t="shared" si="10"/>
        <v>24776299.489393845</v>
      </c>
      <c r="F57" s="334"/>
      <c r="G57" s="334">
        <f t="shared" si="7"/>
        <v>2064691.6241161537</v>
      </c>
      <c r="H57" s="334"/>
      <c r="I57" s="331">
        <f t="shared" si="11"/>
        <v>398056499.06801778</v>
      </c>
      <c r="J57" s="332"/>
      <c r="N57" s="41"/>
      <c r="O57" s="41"/>
      <c r="P57" s="41" t="b">
        <f t="shared" si="8"/>
        <v>0</v>
      </c>
      <c r="Q57" s="9">
        <f t="shared" si="4"/>
        <v>0</v>
      </c>
      <c r="T57" s="9">
        <f t="shared" si="9"/>
        <v>0</v>
      </c>
    </row>
    <row r="58" spans="2:20" ht="20.149999999999999" customHeight="1" x14ac:dyDescent="0.35">
      <c r="B58" s="182">
        <f t="shared" si="5"/>
        <v>91</v>
      </c>
      <c r="C58" s="335">
        <f t="shared" si="6"/>
        <v>398056499.06801778</v>
      </c>
      <c r="D58" s="335"/>
      <c r="E58" s="335">
        <f t="shared" si="10"/>
        <v>26262877.458757479</v>
      </c>
      <c r="F58" s="335"/>
      <c r="G58" s="335">
        <f t="shared" si="7"/>
        <v>2188573.1215631231</v>
      </c>
      <c r="H58" s="335"/>
      <c r="I58" s="329">
        <f t="shared" si="11"/>
        <v>416408856.2023716</v>
      </c>
      <c r="J58" s="330"/>
      <c r="N58" s="41"/>
      <c r="O58" s="41"/>
      <c r="P58" s="41" t="b">
        <f t="shared" si="8"/>
        <v>0</v>
      </c>
      <c r="Q58" s="9">
        <f t="shared" si="4"/>
        <v>0</v>
      </c>
      <c r="T58" s="9">
        <f t="shared" si="9"/>
        <v>0</v>
      </c>
    </row>
    <row r="59" spans="2:20" ht="20.149999999999999" customHeight="1" x14ac:dyDescent="0.35">
      <c r="B59" s="183">
        <f t="shared" si="5"/>
        <v>92</v>
      </c>
      <c r="C59" s="334">
        <f t="shared" si="6"/>
        <v>416408856.2023716</v>
      </c>
      <c r="D59" s="334"/>
      <c r="E59" s="334">
        <f t="shared" si="10"/>
        <v>27838650.106282927</v>
      </c>
      <c r="F59" s="334"/>
      <c r="G59" s="334">
        <f t="shared" si="7"/>
        <v>2319887.5088569107</v>
      </c>
      <c r="H59" s="334"/>
      <c r="I59" s="331">
        <f t="shared" si="11"/>
        <v>435198630.82761931</v>
      </c>
      <c r="J59" s="332"/>
      <c r="N59" s="41"/>
      <c r="O59" s="41"/>
      <c r="P59" s="41" t="b">
        <f t="shared" si="8"/>
        <v>0</v>
      </c>
      <c r="Q59" s="9">
        <f t="shared" si="4"/>
        <v>0</v>
      </c>
      <c r="T59" s="9">
        <f t="shared" si="9"/>
        <v>0</v>
      </c>
    </row>
    <row r="60" spans="2:20" ht="20.149999999999999" customHeight="1" x14ac:dyDescent="0.35">
      <c r="B60" s="182">
        <f t="shared" si="5"/>
        <v>93</v>
      </c>
      <c r="C60" s="335">
        <f t="shared" si="6"/>
        <v>435198630.82761931</v>
      </c>
      <c r="D60" s="335"/>
      <c r="E60" s="335">
        <f t="shared" si="10"/>
        <v>29508969.112659905</v>
      </c>
      <c r="F60" s="335"/>
      <c r="G60" s="335">
        <f t="shared" si="7"/>
        <v>2459080.7593883253</v>
      </c>
      <c r="H60" s="335"/>
      <c r="I60" s="329">
        <f t="shared" si="11"/>
        <v>454372421.12075454</v>
      </c>
      <c r="J60" s="330"/>
      <c r="N60" s="41"/>
      <c r="O60" s="41"/>
      <c r="P60" s="41" t="b">
        <f t="shared" si="8"/>
        <v>0</v>
      </c>
      <c r="Q60" s="9">
        <f t="shared" si="4"/>
        <v>0</v>
      </c>
      <c r="T60" s="9">
        <f t="shared" si="9"/>
        <v>0</v>
      </c>
    </row>
    <row r="61" spans="2:20" ht="20.149999999999999" customHeight="1" x14ac:dyDescent="0.35">
      <c r="B61" s="183">
        <f t="shared" si="5"/>
        <v>94</v>
      </c>
      <c r="C61" s="334">
        <f t="shared" si="6"/>
        <v>454372421.12075454</v>
      </c>
      <c r="D61" s="334"/>
      <c r="E61" s="334">
        <f t="shared" si="10"/>
        <v>31279507.259419501</v>
      </c>
      <c r="F61" s="334"/>
      <c r="G61" s="334">
        <f t="shared" si="7"/>
        <v>2606625.6049516252</v>
      </c>
      <c r="H61" s="334"/>
      <c r="I61" s="331">
        <f t="shared" si="11"/>
        <v>473864063.52469528</v>
      </c>
      <c r="J61" s="332"/>
      <c r="N61" s="41"/>
      <c r="O61" s="41"/>
      <c r="P61" s="41" t="b">
        <f t="shared" si="8"/>
        <v>0</v>
      </c>
      <c r="Q61" s="9">
        <f t="shared" si="4"/>
        <v>0</v>
      </c>
      <c r="T61" s="9">
        <f t="shared" si="9"/>
        <v>0</v>
      </c>
    </row>
    <row r="62" spans="2:20" ht="20.149999999999999" customHeight="1" x14ac:dyDescent="0.35">
      <c r="B62" s="182">
        <f t="shared" si="5"/>
        <v>95</v>
      </c>
      <c r="C62" s="335">
        <f t="shared" si="6"/>
        <v>473864063.52469528</v>
      </c>
      <c r="D62" s="335"/>
      <c r="E62" s="335">
        <f t="shared" si="10"/>
        <v>33156277.694984671</v>
      </c>
      <c r="F62" s="335"/>
      <c r="G62" s="335">
        <f t="shared" si="7"/>
        <v>2763023.1412487226</v>
      </c>
      <c r="H62" s="335"/>
      <c r="I62" s="329">
        <f t="shared" si="11"/>
        <v>493592720.12927592</v>
      </c>
      <c r="J62" s="330"/>
      <c r="N62" s="41"/>
      <c r="O62" s="41"/>
      <c r="P62" s="41" t="b">
        <f t="shared" si="8"/>
        <v>0</v>
      </c>
      <c r="Q62" s="9">
        <f t="shared" si="4"/>
        <v>0</v>
      </c>
      <c r="T62" s="9">
        <f t="shared" si="9"/>
        <v>0</v>
      </c>
    </row>
    <row r="63" spans="2:20" ht="20.149999999999999" customHeight="1" x14ac:dyDescent="0.35">
      <c r="B63" s="183">
        <f t="shared" si="5"/>
        <v>96</v>
      </c>
      <c r="C63" s="334">
        <f t="shared" si="6"/>
        <v>493592720.12927592</v>
      </c>
      <c r="D63" s="334"/>
      <c r="E63" s="334">
        <f t="shared" si="10"/>
        <v>35145654.356683753</v>
      </c>
      <c r="F63" s="334"/>
      <c r="G63" s="334">
        <f t="shared" si="7"/>
        <v>2928804.5297236461</v>
      </c>
      <c r="H63" s="334"/>
      <c r="I63" s="331">
        <f t="shared" si="11"/>
        <v>513460713.66530329</v>
      </c>
      <c r="J63" s="332"/>
      <c r="N63" s="41"/>
      <c r="O63" s="41"/>
      <c r="P63" s="41" t="b">
        <f t="shared" si="8"/>
        <v>0</v>
      </c>
      <c r="Q63" s="9">
        <f t="shared" si="4"/>
        <v>0</v>
      </c>
      <c r="T63" s="9">
        <f t="shared" si="9"/>
        <v>0</v>
      </c>
    </row>
    <row r="64" spans="2:20" ht="20.149999999999999" customHeight="1" x14ac:dyDescent="0.35">
      <c r="B64" s="182">
        <f t="shared" si="5"/>
        <v>97</v>
      </c>
      <c r="C64" s="335">
        <f t="shared" si="6"/>
        <v>513460713.66530329</v>
      </c>
      <c r="D64" s="335"/>
      <c r="E64" s="335">
        <f t="shared" si="10"/>
        <v>37254393.618084781</v>
      </c>
      <c r="F64" s="335"/>
      <c r="G64" s="335">
        <f t="shared" si="7"/>
        <v>3104532.8015070651</v>
      </c>
      <c r="H64" s="335"/>
      <c r="I64" s="329">
        <f t="shared" si="11"/>
        <v>533351078.45288479</v>
      </c>
      <c r="J64" s="330"/>
      <c r="P64" s="41" t="b">
        <f t="shared" si="8"/>
        <v>0</v>
      </c>
      <c r="Q64" s="9">
        <f t="shared" si="4"/>
        <v>0</v>
      </c>
      <c r="T64" s="9">
        <f t="shared" si="9"/>
        <v>0</v>
      </c>
    </row>
    <row r="65" spans="2:20" ht="20.149999999999999" customHeight="1" x14ac:dyDescent="0.35">
      <c r="B65" s="183">
        <f t="shared" si="5"/>
        <v>98</v>
      </c>
      <c r="C65" s="334">
        <f t="shared" si="6"/>
        <v>533351078.45288479</v>
      </c>
      <c r="D65" s="334"/>
      <c r="E65" s="334">
        <f t="shared" si="10"/>
        <v>39489657.235169873</v>
      </c>
      <c r="F65" s="334"/>
      <c r="G65" s="334">
        <f t="shared" si="7"/>
        <v>3290804.7695974894</v>
      </c>
      <c r="H65" s="334"/>
      <c r="I65" s="331">
        <f t="shared" si="11"/>
        <v>553124791.76384079</v>
      </c>
      <c r="J65" s="332"/>
      <c r="P65" s="41" t="b">
        <f t="shared" si="8"/>
        <v>0</v>
      </c>
      <c r="Q65" s="9">
        <f t="shared" si="4"/>
        <v>0</v>
      </c>
      <c r="T65" s="9">
        <f t="shared" si="9"/>
        <v>0</v>
      </c>
    </row>
    <row r="66" spans="2:20" ht="20.149999999999999" customHeight="1" x14ac:dyDescent="0.35">
      <c r="B66" s="182">
        <f t="shared" si="5"/>
        <v>99</v>
      </c>
      <c r="C66" s="335">
        <f t="shared" si="6"/>
        <v>553124791.76384079</v>
      </c>
      <c r="D66" s="335"/>
      <c r="E66" s="335">
        <f t="shared" si="10"/>
        <v>41859036.669280067</v>
      </c>
      <c r="F66" s="335"/>
      <c r="G66" s="335">
        <f t="shared" si="7"/>
        <v>3488253.0557733388</v>
      </c>
      <c r="H66" s="335"/>
      <c r="I66" s="329">
        <f t="shared" si="11"/>
        <v>572617645.70590806</v>
      </c>
      <c r="J66" s="330"/>
      <c r="P66" s="41" t="b">
        <f t="shared" si="8"/>
        <v>0</v>
      </c>
      <c r="Q66" s="9">
        <f t="shared" si="4"/>
        <v>0</v>
      </c>
      <c r="T66" s="9">
        <f t="shared" si="9"/>
        <v>0</v>
      </c>
    </row>
    <row r="67" spans="2:20" ht="15" customHeight="1" x14ac:dyDescent="0.35"/>
  </sheetData>
  <mergeCells count="229">
    <mergeCell ref="I64:J64"/>
    <mergeCell ref="I65:J65"/>
    <mergeCell ref="I66:J66"/>
    <mergeCell ref="C64:D64"/>
    <mergeCell ref="C65:D65"/>
    <mergeCell ref="C66:D66"/>
    <mergeCell ref="E64:F64"/>
    <mergeCell ref="E65:F65"/>
    <mergeCell ref="E66:F66"/>
    <mergeCell ref="G20:H20"/>
    <mergeCell ref="G21:H21"/>
    <mergeCell ref="G22:H22"/>
    <mergeCell ref="G23:H23"/>
    <mergeCell ref="G64:H64"/>
    <mergeCell ref="G65:H65"/>
    <mergeCell ref="G66:H66"/>
    <mergeCell ref="F8:G8"/>
    <mergeCell ref="F9:G9"/>
    <mergeCell ref="F10:G10"/>
    <mergeCell ref="E20:F20"/>
    <mergeCell ref="E21:F21"/>
    <mergeCell ref="E22:F22"/>
    <mergeCell ref="E23:F23"/>
    <mergeCell ref="E27:F27"/>
    <mergeCell ref="E28:F28"/>
    <mergeCell ref="E29:F29"/>
    <mergeCell ref="E30:F30"/>
    <mergeCell ref="E24:F24"/>
    <mergeCell ref="E25:F25"/>
    <mergeCell ref="E26:F26"/>
    <mergeCell ref="G24:H24"/>
    <mergeCell ref="G25:H25"/>
    <mergeCell ref="G26:H26"/>
    <mergeCell ref="N9:O9"/>
    <mergeCell ref="N10:O10"/>
    <mergeCell ref="L5:M5"/>
    <mergeCell ref="L6:M6"/>
    <mergeCell ref="L7:M7"/>
    <mergeCell ref="L8:M8"/>
    <mergeCell ref="F6:G6"/>
    <mergeCell ref="F7:G7"/>
    <mergeCell ref="F5:G5"/>
    <mergeCell ref="I5:K5"/>
    <mergeCell ref="I6:J6"/>
    <mergeCell ref="I7:J7"/>
    <mergeCell ref="I8:J8"/>
    <mergeCell ref="A2:A3"/>
    <mergeCell ref="N5:O5"/>
    <mergeCell ref="N6:O6"/>
    <mergeCell ref="N7:O7"/>
    <mergeCell ref="N8:O8"/>
    <mergeCell ref="B2:J3"/>
    <mergeCell ref="C18:D18"/>
    <mergeCell ref="C19:D19"/>
    <mergeCell ref="B15:B16"/>
    <mergeCell ref="C15:D16"/>
    <mergeCell ref="I15:J16"/>
    <mergeCell ref="I17:J17"/>
    <mergeCell ref="G17:H17"/>
    <mergeCell ref="E17:F17"/>
    <mergeCell ref="C17:D17"/>
    <mergeCell ref="E15:H15"/>
    <mergeCell ref="E16:F16"/>
    <mergeCell ref="G16:H16"/>
    <mergeCell ref="I18:J18"/>
    <mergeCell ref="I19:J19"/>
    <mergeCell ref="E18:F18"/>
    <mergeCell ref="E19:F19"/>
    <mergeCell ref="G18:H18"/>
    <mergeCell ref="G19:H19"/>
    <mergeCell ref="C25:D25"/>
    <mergeCell ref="C26:D26"/>
    <mergeCell ref="C27:D27"/>
    <mergeCell ref="C28:D28"/>
    <mergeCell ref="C29:D29"/>
    <mergeCell ref="C20:D20"/>
    <mergeCell ref="C21:D21"/>
    <mergeCell ref="C22:D22"/>
    <mergeCell ref="C23:D23"/>
    <mergeCell ref="C24:D24"/>
    <mergeCell ref="C45:D45"/>
    <mergeCell ref="C46:D46"/>
    <mergeCell ref="C47:D47"/>
    <mergeCell ref="C48:D48"/>
    <mergeCell ref="C49:D49"/>
    <mergeCell ref="C40:D40"/>
    <mergeCell ref="C41:D41"/>
    <mergeCell ref="C42:D42"/>
    <mergeCell ref="C43:D43"/>
    <mergeCell ref="C44:D44"/>
    <mergeCell ref="C56:D56"/>
    <mergeCell ref="C57:D57"/>
    <mergeCell ref="C58:D58"/>
    <mergeCell ref="C59:D59"/>
    <mergeCell ref="C50:D50"/>
    <mergeCell ref="C51:D51"/>
    <mergeCell ref="C52:D52"/>
    <mergeCell ref="C53:D53"/>
    <mergeCell ref="C54:D54"/>
    <mergeCell ref="C60:D60"/>
    <mergeCell ref="C61:D61"/>
    <mergeCell ref="C62:D62"/>
    <mergeCell ref="C63:D63"/>
    <mergeCell ref="C36:D36"/>
    <mergeCell ref="C37:D37"/>
    <mergeCell ref="C38:D38"/>
    <mergeCell ref="C39:D39"/>
    <mergeCell ref="E41:F41"/>
    <mergeCell ref="E55:F55"/>
    <mergeCell ref="E56:F56"/>
    <mergeCell ref="E47:F47"/>
    <mergeCell ref="E48:F48"/>
    <mergeCell ref="E49:F49"/>
    <mergeCell ref="E50:F50"/>
    <mergeCell ref="E51:F51"/>
    <mergeCell ref="E42:F42"/>
    <mergeCell ref="E43:F43"/>
    <mergeCell ref="E44:F44"/>
    <mergeCell ref="E45:F45"/>
    <mergeCell ref="E46:F46"/>
    <mergeCell ref="E62:F62"/>
    <mergeCell ref="E63:F63"/>
    <mergeCell ref="C55:D55"/>
    <mergeCell ref="C30:D30"/>
    <mergeCell ref="C31:D31"/>
    <mergeCell ref="C32:D32"/>
    <mergeCell ref="C33:D33"/>
    <mergeCell ref="C34:D34"/>
    <mergeCell ref="E37:F37"/>
    <mergeCell ref="E38:F38"/>
    <mergeCell ref="E39:F39"/>
    <mergeCell ref="E40:F40"/>
    <mergeCell ref="E32:F32"/>
    <mergeCell ref="E33:F33"/>
    <mergeCell ref="E34:F34"/>
    <mergeCell ref="E35:F35"/>
    <mergeCell ref="E36:F36"/>
    <mergeCell ref="E31:F31"/>
    <mergeCell ref="C35:D35"/>
    <mergeCell ref="G39:H39"/>
    <mergeCell ref="G40:H40"/>
    <mergeCell ref="G41:H41"/>
    <mergeCell ref="G42:H42"/>
    <mergeCell ref="G43:H43"/>
    <mergeCell ref="G34:H34"/>
    <mergeCell ref="G35:H35"/>
    <mergeCell ref="G36:H36"/>
    <mergeCell ref="G37:H37"/>
    <mergeCell ref="G38:H38"/>
    <mergeCell ref="G49:H49"/>
    <mergeCell ref="G50:H50"/>
    <mergeCell ref="G51:H51"/>
    <mergeCell ref="G44:H44"/>
    <mergeCell ref="G45:H45"/>
    <mergeCell ref="G46:H46"/>
    <mergeCell ref="G47:H47"/>
    <mergeCell ref="G48:H48"/>
    <mergeCell ref="G63:H63"/>
    <mergeCell ref="G54:H54"/>
    <mergeCell ref="G55:H55"/>
    <mergeCell ref="G56:H56"/>
    <mergeCell ref="G57:H57"/>
    <mergeCell ref="G58:H58"/>
    <mergeCell ref="G52:H52"/>
    <mergeCell ref="G53:H53"/>
    <mergeCell ref="G59:H59"/>
    <mergeCell ref="G60:H60"/>
    <mergeCell ref="G61:H61"/>
    <mergeCell ref="G62:H62"/>
    <mergeCell ref="G30:H30"/>
    <mergeCell ref="G31:H31"/>
    <mergeCell ref="G32:H32"/>
    <mergeCell ref="G27:H27"/>
    <mergeCell ref="G28:H28"/>
    <mergeCell ref="I30:J30"/>
    <mergeCell ref="I31:J31"/>
    <mergeCell ref="I32:J32"/>
    <mergeCell ref="E61:F61"/>
    <mergeCell ref="E52:F52"/>
    <mergeCell ref="E53:F53"/>
    <mergeCell ref="E54:F54"/>
    <mergeCell ref="G33:H33"/>
    <mergeCell ref="I60:J60"/>
    <mergeCell ref="I61:J61"/>
    <mergeCell ref="I45:J45"/>
    <mergeCell ref="I46:J46"/>
    <mergeCell ref="I47:J47"/>
    <mergeCell ref="I48:J48"/>
    <mergeCell ref="I49:J49"/>
    <mergeCell ref="E57:F57"/>
    <mergeCell ref="E58:F58"/>
    <mergeCell ref="E59:F59"/>
    <mergeCell ref="E60:F60"/>
    <mergeCell ref="B14:J14"/>
    <mergeCell ref="I62:J62"/>
    <mergeCell ref="I63:J63"/>
    <mergeCell ref="I55:J55"/>
    <mergeCell ref="I56:J56"/>
    <mergeCell ref="I57:J57"/>
    <mergeCell ref="I58:J58"/>
    <mergeCell ref="I59:J59"/>
    <mergeCell ref="I50:J50"/>
    <mergeCell ref="I51:J51"/>
    <mergeCell ref="I52:J52"/>
    <mergeCell ref="I53:J53"/>
    <mergeCell ref="I54:J54"/>
    <mergeCell ref="I20:J20"/>
    <mergeCell ref="I21:J21"/>
    <mergeCell ref="I22:J22"/>
    <mergeCell ref="I23:J23"/>
    <mergeCell ref="I24:J24"/>
    <mergeCell ref="I25:J25"/>
    <mergeCell ref="I26:J26"/>
    <mergeCell ref="I27:J27"/>
    <mergeCell ref="I28:J28"/>
    <mergeCell ref="I29:J29"/>
    <mergeCell ref="G29:H29"/>
    <mergeCell ref="I44:J44"/>
    <mergeCell ref="I35:J35"/>
    <mergeCell ref="I36:J36"/>
    <mergeCell ref="I37:J37"/>
    <mergeCell ref="I38:J38"/>
    <mergeCell ref="I39:J39"/>
    <mergeCell ref="I33:J33"/>
    <mergeCell ref="I34:J34"/>
    <mergeCell ref="I40:J40"/>
    <mergeCell ref="I41:J41"/>
    <mergeCell ref="I42:J42"/>
    <mergeCell ref="I43:J43"/>
  </mergeCells>
  <conditionalFormatting sqref="B18:J66">
    <cfRule type="expression" dxfId="15" priority="9">
      <formula>$P18</formula>
    </cfRule>
  </conditionalFormatting>
  <conditionalFormatting sqref="I17:J66">
    <cfRule type="expression" dxfId="14" priority="8">
      <formula>$T17</formula>
    </cfRule>
  </conditionalFormatting>
  <dataValidations count="3">
    <dataValidation type="custom" allowBlank="1" showInputMessage="1" showErrorMessage="1" errorTitle="ERROR!!" error="Total allocation % cannot be more than 100%!" sqref="K6:K8" xr:uid="{06F1CB09-0053-4514-8077-7783F09CB1FD}">
      <formula1>IF(1=1,SUM($K$6:$K$8)&lt;=100%,"")</formula1>
    </dataValidation>
    <dataValidation type="decimal" operator="lessThanOrEqual" allowBlank="1" showInputMessage="1" showErrorMessage="1" errorTitle="ERROR!!" error="Return assumption cannot be more than 15%!" sqref="N6:N8" xr:uid="{9CB65738-16A0-49E2-97BB-F01388F29CCE}">
      <formula1>0.15</formula1>
    </dataValidation>
    <dataValidation operator="lessThanOrEqual" allowBlank="1" showInputMessage="1" showErrorMessage="1" errorTitle="ERROR!!" error="No. of years cannot be more than 50!" sqref="H6 F7" xr:uid="{7A8164A4-2A09-48DB-9C67-CE4F54F748C6}"/>
  </dataValidations>
  <hyperlinks>
    <hyperlink ref="A2:A3" location="'Main Menu'!A1" tooltip="HOME" display="BACK" xr:uid="{6D9F2EBA-401E-4863-BF0B-A592AA26DFCB}"/>
  </hyperlinks>
  <printOptions horizontalCentered="1"/>
  <pageMargins left="0.23622047244094491" right="0.23622047244094491" top="0.23622047244094491" bottom="0.23622047244094491"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46B4E-E07E-456F-8C52-A5E22D5BFBFC}">
  <dimension ref="A1:AE352"/>
  <sheetViews>
    <sheetView showGridLines="0" zoomScaleNormal="100" workbookViewId="0">
      <selection activeCell="A2" sqref="A2:A3"/>
    </sheetView>
  </sheetViews>
  <sheetFormatPr defaultColWidth="0" defaultRowHeight="15" customHeight="1" zeroHeight="1" x14ac:dyDescent="0.35"/>
  <cols>
    <col min="1" max="15" width="9.1796875" style="6" customWidth="1"/>
    <col min="16" max="16" width="1.26953125" style="6" customWidth="1"/>
    <col min="17" max="17" width="6.81640625" style="6" hidden="1" customWidth="1"/>
    <col min="18" max="18" width="16.1796875" style="6" hidden="1" customWidth="1"/>
    <col min="19" max="19" width="16.54296875" style="6" hidden="1" customWidth="1"/>
    <col min="20" max="20" width="23.453125" style="6" hidden="1" customWidth="1"/>
    <col min="21" max="21" width="12.1796875" style="6" hidden="1" customWidth="1"/>
    <col min="22" max="23" width="9.1796875" style="6" hidden="1" customWidth="1"/>
    <col min="24" max="24" width="14.7265625" style="6" hidden="1" customWidth="1"/>
    <col min="25" max="27" width="9.1796875" style="6" hidden="1" customWidth="1"/>
    <col min="28" max="28" width="12.1796875" style="6" hidden="1" customWidth="1"/>
    <col min="29" max="31" width="0" style="6" hidden="1" customWidth="1"/>
    <col min="32" max="16384" width="9.1796875" style="6" hidden="1"/>
  </cols>
  <sheetData>
    <row r="1" spans="1:31" ht="14.5" x14ac:dyDescent="0.35">
      <c r="I1"/>
      <c r="J1"/>
      <c r="K1"/>
      <c r="L1"/>
      <c r="R1" s="1">
        <v>0</v>
      </c>
    </row>
    <row r="2" spans="1:31" ht="14.5" customHeight="1" x14ac:dyDescent="0.35">
      <c r="A2" s="289" t="s">
        <v>5</v>
      </c>
      <c r="B2" s="290" t="s">
        <v>1</v>
      </c>
      <c r="C2" s="290"/>
      <c r="D2" s="290"/>
      <c r="E2" s="290"/>
      <c r="F2" s="290"/>
      <c r="G2" s="290"/>
      <c r="H2" s="290"/>
      <c r="K2"/>
      <c r="L2"/>
      <c r="M2"/>
      <c r="N2"/>
      <c r="O2"/>
      <c r="R2" s="2">
        <v>5.1999999999999998E-2</v>
      </c>
    </row>
    <row r="3" spans="1:31" ht="14.5" customHeight="1" x14ac:dyDescent="0.35">
      <c r="A3" s="289"/>
      <c r="B3" s="291"/>
      <c r="C3" s="291"/>
      <c r="D3" s="291"/>
      <c r="E3" s="291"/>
      <c r="F3" s="291"/>
      <c r="G3" s="291"/>
      <c r="H3" s="291"/>
      <c r="K3"/>
      <c r="L3"/>
      <c r="M3"/>
      <c r="R3" s="2">
        <v>0.104</v>
      </c>
      <c r="T3" s="6">
        <v>8.43</v>
      </c>
    </row>
    <row r="4" spans="1:31" thickBot="1" x14ac:dyDescent="0.4">
      <c r="R4" s="2">
        <v>0.156</v>
      </c>
      <c r="T4" s="6">
        <v>8.43</v>
      </c>
    </row>
    <row r="5" spans="1:31" ht="20.149999999999999" customHeight="1" thickTop="1" x14ac:dyDescent="0.35">
      <c r="B5" s="67" t="s">
        <v>57</v>
      </c>
      <c r="C5" s="64"/>
      <c r="D5" s="64"/>
      <c r="E5" s="64"/>
      <c r="F5" s="64"/>
      <c r="G5" s="64"/>
      <c r="H5" s="450">
        <v>10000000</v>
      </c>
      <c r="I5" s="451"/>
      <c r="J5" s="106" t="s">
        <v>282</v>
      </c>
      <c r="K5" s="64"/>
      <c r="L5" s="64"/>
      <c r="M5" s="64"/>
      <c r="N5" s="423" t="s">
        <v>59</v>
      </c>
      <c r="O5" s="424"/>
      <c r="R5" s="3">
        <v>0.20799999999999999</v>
      </c>
      <c r="S5" s="4" t="s">
        <v>59</v>
      </c>
      <c r="T5" s="6">
        <f>SUM(T3:T4)</f>
        <v>16.86</v>
      </c>
    </row>
    <row r="6" spans="1:31" ht="20.149999999999999" customHeight="1" x14ac:dyDescent="0.35">
      <c r="B6" s="109" t="s">
        <v>58</v>
      </c>
      <c r="H6" s="425">
        <v>0.08</v>
      </c>
      <c r="I6" s="426"/>
      <c r="O6" s="260"/>
      <c r="R6" s="3">
        <v>0.26</v>
      </c>
      <c r="S6" s="259" t="s">
        <v>172</v>
      </c>
    </row>
    <row r="7" spans="1:31" ht="20.149999999999999" customHeight="1" x14ac:dyDescent="0.35">
      <c r="B7" s="95" t="s">
        <v>61</v>
      </c>
      <c r="C7" s="11"/>
      <c r="D7" s="11"/>
      <c r="E7" s="11"/>
      <c r="F7" s="11"/>
      <c r="G7" s="11"/>
      <c r="H7" s="336">
        <v>0.08</v>
      </c>
      <c r="I7" s="427"/>
      <c r="J7" s="68" t="s">
        <v>62</v>
      </c>
      <c r="K7" s="29"/>
      <c r="L7" s="11"/>
      <c r="M7" s="11"/>
      <c r="N7" s="428" t="s">
        <v>378</v>
      </c>
      <c r="O7" s="429"/>
      <c r="R7" s="3">
        <v>0.312</v>
      </c>
      <c r="S7" s="259" t="s">
        <v>464</v>
      </c>
      <c r="T7" s="57"/>
    </row>
    <row r="8" spans="1:31" ht="20.149999999999999" customHeight="1" thickBot="1" x14ac:dyDescent="0.4">
      <c r="B8" s="104" t="s">
        <v>60</v>
      </c>
      <c r="C8" s="65"/>
      <c r="D8" s="65"/>
      <c r="E8" s="65"/>
      <c r="F8" s="65"/>
      <c r="G8" s="65"/>
      <c r="H8" s="452">
        <v>0.312</v>
      </c>
      <c r="I8" s="453"/>
      <c r="J8" s="105" t="s">
        <v>283</v>
      </c>
      <c r="K8" s="66"/>
      <c r="L8" s="65"/>
      <c r="M8" s="65"/>
      <c r="N8" s="430">
        <v>0.1</v>
      </c>
      <c r="O8" s="431"/>
    </row>
    <row r="9" spans="1:31" ht="20.149999999999999" customHeight="1" thickTop="1" x14ac:dyDescent="0.35">
      <c r="B9" s="437" t="s">
        <v>465</v>
      </c>
      <c r="C9" s="437"/>
      <c r="D9" s="437"/>
      <c r="E9" s="437"/>
      <c r="F9" s="437"/>
      <c r="G9" s="437"/>
      <c r="H9" s="437"/>
      <c r="I9" s="437"/>
      <c r="J9" s="437"/>
      <c r="K9" s="437"/>
      <c r="L9" s="437"/>
      <c r="M9" s="437"/>
      <c r="N9" s="437"/>
      <c r="O9" s="437"/>
    </row>
    <row r="10" spans="1:31" ht="20.149999999999999" customHeight="1" x14ac:dyDescent="0.35">
      <c r="B10" s="13" t="s">
        <v>255</v>
      </c>
      <c r="D10" s="100" t="str">
        <f>" "&amp;UPPER('Main Menu'!C29)</f>
        <v xml:space="preserve"> CLIENT NAME</v>
      </c>
      <c r="E10" s="100"/>
      <c r="F10" s="100"/>
      <c r="G10" s="100"/>
      <c r="H10" s="100"/>
      <c r="I10" s="438" t="s">
        <v>256</v>
      </c>
      <c r="J10" s="438"/>
      <c r="K10" s="100" t="str">
        <f>" "&amp;UPPER('Main Menu'!L29)</f>
        <v xml:space="preserve"> PARTNER NAME</v>
      </c>
      <c r="L10" s="100"/>
      <c r="M10" s="100" t="s">
        <v>466</v>
      </c>
      <c r="N10" s="100"/>
      <c r="O10" s="100"/>
    </row>
    <row r="11" spans="1:31" ht="20.149999999999999" customHeight="1" thickBot="1" x14ac:dyDescent="0.4">
      <c r="N11" s="434" t="str">
        <f ca="1">"Dated: "&amp; TEXT(TODAY(),"DD-MMM-YYYY")</f>
        <v>Dated: 28-Aug-2025</v>
      </c>
      <c r="O11" s="434"/>
      <c r="P11"/>
      <c r="AE11"/>
    </row>
    <row r="12" spans="1:31" ht="20.149999999999999" customHeight="1" thickTop="1" thickBot="1" x14ac:dyDescent="0.4">
      <c r="B12" s="214" t="s">
        <v>377</v>
      </c>
      <c r="C12" s="212"/>
      <c r="D12" s="212"/>
      <c r="E12" s="212"/>
      <c r="F12" s="212"/>
      <c r="G12" s="212"/>
      <c r="H12" s="432">
        <v>10</v>
      </c>
      <c r="I12" s="433"/>
      <c r="J12"/>
      <c r="K12" s="79" t="str">
        <f>"i.e."&amp;H12&amp;" financial years including purchase and sale year"</f>
        <v>i.e.10 financial years including purchase and sale year</v>
      </c>
      <c r="L12"/>
      <c r="M12"/>
      <c r="N12"/>
      <c r="O12"/>
      <c r="R12" s="68" t="s">
        <v>46</v>
      </c>
      <c r="S12" s="11"/>
      <c r="T12" s="11"/>
      <c r="U12" s="11"/>
      <c r="V12" s="421">
        <v>7.0000000000000007E-2</v>
      </c>
      <c r="W12" s="422"/>
    </row>
    <row r="13" spans="1:31" ht="20.149999999999999" customHeight="1" thickTop="1" thickBot="1" x14ac:dyDescent="0.4">
      <c r="B13"/>
      <c r="C13"/>
      <c r="D13"/>
      <c r="E13"/>
      <c r="F13"/>
      <c r="G13"/>
      <c r="H13"/>
      <c r="I13"/>
      <c r="J13"/>
      <c r="K13"/>
      <c r="L13"/>
      <c r="M13"/>
      <c r="N13"/>
      <c r="O13"/>
    </row>
    <row r="14" spans="1:31" ht="20.149999999999999" customHeight="1" thickTop="1" x14ac:dyDescent="0.35">
      <c r="B14" s="393" t="s">
        <v>63</v>
      </c>
      <c r="C14" s="394"/>
      <c r="D14" s="394"/>
      <c r="E14" s="394"/>
      <c r="F14" s="394"/>
      <c r="G14" s="394"/>
      <c r="H14" s="394"/>
      <c r="I14" s="394"/>
      <c r="J14" s="395" t="s">
        <v>64</v>
      </c>
      <c r="K14" s="396"/>
      <c r="L14" s="396"/>
      <c r="M14" s="396"/>
      <c r="N14" s="396"/>
      <c r="O14" s="397"/>
      <c r="R14" s="389">
        <f>SUM(R18:S22)</f>
        <v>3860418.0660020583</v>
      </c>
      <c r="S14" s="390"/>
      <c r="T14" s="59">
        <f>SUM(T17:U21)</f>
        <v>3088406.4528016462</v>
      </c>
    </row>
    <row r="15" spans="1:31" ht="20.149999999999999" customHeight="1" x14ac:dyDescent="0.35">
      <c r="B15" s="441" t="s">
        <v>22</v>
      </c>
      <c r="C15" s="410" t="s">
        <v>65</v>
      </c>
      <c r="D15" s="442"/>
      <c r="E15" s="417" t="s">
        <v>66</v>
      </c>
      <c r="F15" s="410" t="s">
        <v>67</v>
      </c>
      <c r="G15" s="411"/>
      <c r="H15" s="412" t="s">
        <v>68</v>
      </c>
      <c r="I15" s="413"/>
      <c r="J15" s="413" t="s">
        <v>69</v>
      </c>
      <c r="K15" s="414"/>
      <c r="L15" s="416" t="s">
        <v>67</v>
      </c>
      <c r="M15" s="416"/>
      <c r="N15" s="417" t="s">
        <v>68</v>
      </c>
      <c r="O15" s="418"/>
      <c r="R15" s="444" t="s">
        <v>70</v>
      </c>
      <c r="S15" s="445"/>
      <c r="T15" s="439" t="s">
        <v>71</v>
      </c>
      <c r="U15" s="9" t="s">
        <v>72</v>
      </c>
      <c r="V15" s="9"/>
      <c r="W15" s="9"/>
      <c r="X15" s="31">
        <f>IF(N7="Diff. than FD",N8,H7)</f>
        <v>0.08</v>
      </c>
    </row>
    <row r="16" spans="1:31" ht="20.149999999999999" customHeight="1" x14ac:dyDescent="0.35">
      <c r="B16" s="441"/>
      <c r="C16" s="443"/>
      <c r="D16" s="442"/>
      <c r="E16" s="417"/>
      <c r="F16" s="410"/>
      <c r="G16" s="411"/>
      <c r="H16" s="412"/>
      <c r="I16" s="413"/>
      <c r="J16" s="415"/>
      <c r="K16" s="414"/>
      <c r="L16" s="416"/>
      <c r="M16" s="416"/>
      <c r="N16" s="417"/>
      <c r="O16" s="418"/>
      <c r="R16" s="446"/>
      <c r="S16" s="447"/>
      <c r="T16" s="440"/>
      <c r="U16" s="9" t="s">
        <v>73</v>
      </c>
      <c r="V16" s="9"/>
      <c r="W16" s="9"/>
      <c r="X16" s="22">
        <f>$H$5*((1+$X$15)^(1/12)-1)</f>
        <v>64340.301100034303</v>
      </c>
    </row>
    <row r="17" spans="2:21" ht="20.149999999999999" customHeight="1" thickBot="1" x14ac:dyDescent="0.4">
      <c r="B17" s="61" t="s">
        <v>74</v>
      </c>
      <c r="C17" s="419">
        <f>SUM(C18:D42)</f>
        <v>7720836.1320041139</v>
      </c>
      <c r="D17" s="420"/>
      <c r="E17" s="62"/>
      <c r="F17" s="448">
        <f>SUM(F18:F42)</f>
        <v>296089.64592362504</v>
      </c>
      <c r="G17" s="449"/>
      <c r="H17" s="384">
        <f t="shared" ref="H17" si="0">F17/C17</f>
        <v>3.8349427556982542E-2</v>
      </c>
      <c r="I17" s="385"/>
      <c r="J17" s="408">
        <f t="shared" ref="J17" si="1">SUM(J18:K42)</f>
        <v>7720836.1320041157</v>
      </c>
      <c r="K17" s="409"/>
      <c r="L17" s="407">
        <f t="shared" ref="L17" si="2">SUM(L18:M42)</f>
        <v>2408900.8731852844</v>
      </c>
      <c r="M17" s="407"/>
      <c r="N17" s="435">
        <f t="shared" ref="N17" si="3">L17/J17</f>
        <v>0.31200000000000006</v>
      </c>
      <c r="O17" s="436"/>
      <c r="U17" s="58"/>
    </row>
    <row r="18" spans="2:21" ht="20.149999999999999" customHeight="1" thickTop="1" x14ac:dyDescent="0.35">
      <c r="B18" s="60">
        <v>1</v>
      </c>
      <c r="C18" s="363">
        <f t="shared" ref="C18" si="4">IF(B18="","",T18)</f>
        <v>772083.61320041155</v>
      </c>
      <c r="D18" s="368"/>
      <c r="E18" s="107" t="str">
        <f>IF(B18="","",IF(AND($N$5="Equity", B18=1), "STCG", IF($N$5="Debt", "NA", IF(AND($N$5="Other", B18&lt;3), "STCG", "LTCG"))))</f>
        <v>STCG</v>
      </c>
      <c r="F18" s="378">
        <f t="shared" ref="F18" si="5">IF(B18="","",SUMIFS($G$49:$G$348,$Y$49:$Y$348,"="&amp;B18))</f>
        <v>5911.1283747123334</v>
      </c>
      <c r="G18" s="379"/>
      <c r="H18" s="371">
        <f t="shared" ref="H18" si="6">IF(B18="","",IF(T18=0,"",F18/T18))</f>
        <v>7.6560728315547971E-3</v>
      </c>
      <c r="I18" s="372"/>
      <c r="J18" s="380">
        <f>IF(B18="","",R18)</f>
        <v>772083.61320041167</v>
      </c>
      <c r="K18" s="381"/>
      <c r="L18" s="388">
        <f t="shared" ref="L18" si="7">IF(B18="","",R18*$H$8)</f>
        <v>240890.08731852844</v>
      </c>
      <c r="M18" s="388"/>
      <c r="N18" s="386">
        <f t="shared" ref="N18" si="8">IF(B18="","",L18/R18)</f>
        <v>0.312</v>
      </c>
      <c r="O18" s="387"/>
      <c r="R18" s="391">
        <f t="shared" ref="R18:R42" si="9">12*$J$49</f>
        <v>772083.61320041167</v>
      </c>
      <c r="S18" s="392"/>
      <c r="T18" s="15">
        <f>SUMIFS($T$49:$T$108,$B$49:$B$108,"&lt;="&amp;12)</f>
        <v>772083.61320041155</v>
      </c>
      <c r="U18" s="58">
        <v>0</v>
      </c>
    </row>
    <row r="19" spans="2:21" ht="20.149999999999999" customHeight="1" x14ac:dyDescent="0.35">
      <c r="B19" s="60">
        <f>IF(B18="","",IF(B18+1&lt;=$H$12,B18+1,""))</f>
        <v>2</v>
      </c>
      <c r="C19" s="363">
        <f t="shared" ref="C19:C42" si="10">IF(B19="","",T19)</f>
        <v>772083.61320041155</v>
      </c>
      <c r="D19" s="368"/>
      <c r="E19" s="107" t="str">
        <f t="shared" ref="E19:E42" si="11">IF(B19="","",IF(AND($N$5="Equity", B19=1), "STCG", IF($N$5="Debt", "NA", IF(AND($N$5="Other", B19&lt;3), "STCG", "LTCG"))))</f>
        <v>LTCG</v>
      </c>
      <c r="F19" s="378">
        <f t="shared" ref="F19" si="12">IF(B19="","",SUMIFS($G$49:$G$348,$Y$49:$Y$348,"="&amp;B19))</f>
        <v>10776.569619873426</v>
      </c>
      <c r="G19" s="379"/>
      <c r="H19" s="371">
        <f t="shared" ref="H19:H42" si="13">IF(B19="","",IF(T19=0,"",F19/T19))</f>
        <v>1.3957775344049591E-2</v>
      </c>
      <c r="I19" s="372"/>
      <c r="J19" s="380">
        <f t="shared" ref="J19:J42" si="14">IF(B19="","",R19)</f>
        <v>772083.61320041167</v>
      </c>
      <c r="K19" s="381"/>
      <c r="L19" s="388">
        <f t="shared" ref="L19:L42" si="15">IF(B19="","",R19*$H$8)</f>
        <v>240890.08731852844</v>
      </c>
      <c r="M19" s="388"/>
      <c r="N19" s="386">
        <f t="shared" ref="N19:N42" si="16">IF(B19="","",L19/R19)</f>
        <v>0.312</v>
      </c>
      <c r="O19" s="387"/>
      <c r="R19" s="391">
        <f t="shared" si="9"/>
        <v>772083.61320041167</v>
      </c>
      <c r="S19" s="392"/>
      <c r="T19" s="15">
        <f t="shared" ref="T19:T42" si="17">SUMIFS($T$49:$T$348,$B$49:$B$348,"&gt;"&amp;U19, $B$49:$B$348, "&lt;="&amp;(U19+12))</f>
        <v>772083.61320041155</v>
      </c>
      <c r="U19" s="58">
        <v>12</v>
      </c>
    </row>
    <row r="20" spans="2:21" ht="20.149999999999999" customHeight="1" x14ac:dyDescent="0.35">
      <c r="B20" s="60">
        <f t="shared" ref="B20:B42" si="18">IF(B19="","",IF(B19+1&lt;=$H$12,B19+1,""))</f>
        <v>3</v>
      </c>
      <c r="C20" s="363">
        <f t="shared" si="10"/>
        <v>772083.61320041155</v>
      </c>
      <c r="D20" s="368"/>
      <c r="E20" s="107" t="str">
        <f t="shared" si="11"/>
        <v>LTCG</v>
      </c>
      <c r="F20" s="378">
        <f t="shared" ref="F20:F42" si="19">IF(B20="","",SUMIFS($G$49:$G$348,$Y$49:$Y$348,"="&amp;B20))</f>
        <v>17127.227548034727</v>
      </c>
      <c r="G20" s="379"/>
      <c r="H20" s="371">
        <f t="shared" si="13"/>
        <v>2.2183125318564392E-2</v>
      </c>
      <c r="I20" s="372"/>
      <c r="J20" s="380">
        <f t="shared" si="14"/>
        <v>772083.61320041167</v>
      </c>
      <c r="K20" s="381"/>
      <c r="L20" s="388">
        <f t="shared" si="15"/>
        <v>240890.08731852844</v>
      </c>
      <c r="M20" s="388"/>
      <c r="N20" s="386">
        <f t="shared" si="16"/>
        <v>0.312</v>
      </c>
      <c r="O20" s="387"/>
      <c r="R20" s="391">
        <f t="shared" si="9"/>
        <v>772083.61320041167</v>
      </c>
      <c r="S20" s="392"/>
      <c r="T20" s="15">
        <f t="shared" si="17"/>
        <v>772083.61320041155</v>
      </c>
      <c r="U20" s="58">
        <v>24</v>
      </c>
    </row>
    <row r="21" spans="2:21" s="9" customFormat="1" ht="20.149999999999999" customHeight="1" x14ac:dyDescent="0.35">
      <c r="B21" s="60">
        <f t="shared" si="18"/>
        <v>4</v>
      </c>
      <c r="C21" s="363">
        <f t="shared" si="10"/>
        <v>772083.61320041155</v>
      </c>
      <c r="D21" s="368"/>
      <c r="E21" s="107" t="str">
        <f t="shared" si="11"/>
        <v>LTCG</v>
      </c>
      <c r="F21" s="378">
        <f t="shared" si="19"/>
        <v>23007.46637040632</v>
      </c>
      <c r="G21" s="379"/>
      <c r="H21" s="371">
        <f t="shared" si="13"/>
        <v>2.9799190109781826E-2</v>
      </c>
      <c r="I21" s="372"/>
      <c r="J21" s="380">
        <f t="shared" si="14"/>
        <v>772083.61320041167</v>
      </c>
      <c r="K21" s="381"/>
      <c r="L21" s="388">
        <f t="shared" si="15"/>
        <v>240890.08731852844</v>
      </c>
      <c r="M21" s="388"/>
      <c r="N21" s="386">
        <f t="shared" si="16"/>
        <v>0.312</v>
      </c>
      <c r="O21" s="387"/>
      <c r="Q21" s="6"/>
      <c r="R21" s="391">
        <f t="shared" si="9"/>
        <v>772083.61320041167</v>
      </c>
      <c r="S21" s="392"/>
      <c r="T21" s="15">
        <f t="shared" si="17"/>
        <v>772083.61320041155</v>
      </c>
      <c r="U21" s="58">
        <v>36</v>
      </c>
    </row>
    <row r="22" spans="2:21" s="9" customFormat="1" ht="20.149999999999999" customHeight="1" x14ac:dyDescent="0.35">
      <c r="B22" s="60">
        <f t="shared" si="18"/>
        <v>5</v>
      </c>
      <c r="C22" s="363">
        <f t="shared" si="10"/>
        <v>772083.61320041155</v>
      </c>
      <c r="D22" s="368"/>
      <c r="E22" s="107" t="str">
        <f t="shared" si="11"/>
        <v>LTCG</v>
      </c>
      <c r="F22" s="378">
        <f t="shared" si="19"/>
        <v>28452.131946676327</v>
      </c>
      <c r="G22" s="379"/>
      <c r="H22" s="371">
        <f t="shared" si="13"/>
        <v>3.6851101953501685E-2</v>
      </c>
      <c r="I22" s="372"/>
      <c r="J22" s="380">
        <f t="shared" si="14"/>
        <v>772083.61320041167</v>
      </c>
      <c r="K22" s="381"/>
      <c r="L22" s="388">
        <f t="shared" si="15"/>
        <v>240890.08731852844</v>
      </c>
      <c r="M22" s="388"/>
      <c r="N22" s="386">
        <f t="shared" si="16"/>
        <v>0.312</v>
      </c>
      <c r="O22" s="387"/>
      <c r="R22" s="391">
        <f t="shared" si="9"/>
        <v>772083.61320041167</v>
      </c>
      <c r="S22" s="392"/>
      <c r="T22" s="15">
        <f t="shared" si="17"/>
        <v>772083.61320041155</v>
      </c>
      <c r="U22" s="58">
        <v>48</v>
      </c>
    </row>
    <row r="23" spans="2:21" s="9" customFormat="1" ht="20.149999999999999" customHeight="1" x14ac:dyDescent="0.35">
      <c r="B23" s="60">
        <f t="shared" si="18"/>
        <v>6</v>
      </c>
      <c r="C23" s="363">
        <f t="shared" si="10"/>
        <v>772083.61320041155</v>
      </c>
      <c r="D23" s="368"/>
      <c r="E23" s="107" t="str">
        <f t="shared" si="11"/>
        <v>LTCG</v>
      </c>
      <c r="F23" s="378">
        <f t="shared" si="19"/>
        <v>33493.488961741132</v>
      </c>
      <c r="G23" s="379"/>
      <c r="H23" s="371">
        <f t="shared" si="13"/>
        <v>4.3380649956945981E-2</v>
      </c>
      <c r="I23" s="372"/>
      <c r="J23" s="380">
        <f t="shared" si="14"/>
        <v>772083.61320041167</v>
      </c>
      <c r="K23" s="381"/>
      <c r="L23" s="388">
        <f t="shared" si="15"/>
        <v>240890.08731852844</v>
      </c>
      <c r="M23" s="388"/>
      <c r="N23" s="386">
        <f t="shared" si="16"/>
        <v>0.312</v>
      </c>
      <c r="O23" s="387"/>
      <c r="R23" s="391">
        <f t="shared" si="9"/>
        <v>772083.61320041167</v>
      </c>
      <c r="S23" s="392"/>
      <c r="T23" s="15">
        <f t="shared" si="17"/>
        <v>772083.61320041155</v>
      </c>
      <c r="U23" s="58">
        <v>60</v>
      </c>
    </row>
    <row r="24" spans="2:21" s="9" customFormat="1" ht="20.149999999999999" customHeight="1" x14ac:dyDescent="0.35">
      <c r="B24" s="60">
        <f t="shared" si="18"/>
        <v>7</v>
      </c>
      <c r="C24" s="363">
        <f t="shared" si="10"/>
        <v>772083.61320041155</v>
      </c>
      <c r="D24" s="368"/>
      <c r="E24" s="107" t="str">
        <f t="shared" si="11"/>
        <v>LTCG</v>
      </c>
      <c r="F24" s="378">
        <f t="shared" si="19"/>
        <v>38161.412123838163</v>
      </c>
      <c r="G24" s="379"/>
      <c r="H24" s="371">
        <f t="shared" si="13"/>
        <v>4.9426527737912909E-2</v>
      </c>
      <c r="I24" s="372"/>
      <c r="J24" s="380">
        <f t="shared" si="14"/>
        <v>772083.61320041167</v>
      </c>
      <c r="K24" s="381"/>
      <c r="L24" s="388">
        <f t="shared" si="15"/>
        <v>240890.08731852844</v>
      </c>
      <c r="M24" s="388"/>
      <c r="N24" s="386">
        <f t="shared" si="16"/>
        <v>0.312</v>
      </c>
      <c r="O24" s="387"/>
      <c r="R24" s="391">
        <f t="shared" si="9"/>
        <v>772083.61320041167</v>
      </c>
      <c r="S24" s="392"/>
      <c r="T24" s="15">
        <f t="shared" si="17"/>
        <v>772083.61320041155</v>
      </c>
      <c r="U24" s="58">
        <v>72</v>
      </c>
    </row>
    <row r="25" spans="2:21" s="9" customFormat="1" ht="20.149999999999999" customHeight="1" x14ac:dyDescent="0.35">
      <c r="B25" s="60">
        <f t="shared" si="18"/>
        <v>8</v>
      </c>
      <c r="C25" s="363">
        <f t="shared" si="10"/>
        <v>772083.61320041155</v>
      </c>
      <c r="D25" s="368"/>
      <c r="E25" s="107" t="str">
        <f t="shared" si="11"/>
        <v>LTCG</v>
      </c>
      <c r="F25" s="378">
        <f t="shared" si="19"/>
        <v>42483.563199853939</v>
      </c>
      <c r="G25" s="379"/>
      <c r="H25" s="371">
        <f t="shared" si="13"/>
        <v>5.5024562720289702E-2</v>
      </c>
      <c r="I25" s="372"/>
      <c r="J25" s="380">
        <f t="shared" si="14"/>
        <v>772083.61320041167</v>
      </c>
      <c r="K25" s="381"/>
      <c r="L25" s="388">
        <f t="shared" si="15"/>
        <v>240890.08731852844</v>
      </c>
      <c r="M25" s="388"/>
      <c r="N25" s="386">
        <f t="shared" si="16"/>
        <v>0.312</v>
      </c>
      <c r="O25" s="387"/>
      <c r="R25" s="391">
        <f t="shared" si="9"/>
        <v>772083.61320041167</v>
      </c>
      <c r="S25" s="392"/>
      <c r="T25" s="15">
        <f t="shared" si="17"/>
        <v>772083.61320041155</v>
      </c>
      <c r="U25" s="58">
        <v>84</v>
      </c>
    </row>
    <row r="26" spans="2:21" s="9" customFormat="1" ht="20.149999999999999" customHeight="1" x14ac:dyDescent="0.35">
      <c r="B26" s="60">
        <f t="shared" si="18"/>
        <v>9</v>
      </c>
      <c r="C26" s="363">
        <f t="shared" si="10"/>
        <v>772083.61320041155</v>
      </c>
      <c r="D26" s="368"/>
      <c r="E26" s="107" t="str">
        <f t="shared" si="11"/>
        <v>LTCG</v>
      </c>
      <c r="F26" s="378">
        <f t="shared" si="19"/>
        <v>46485.554936905581</v>
      </c>
      <c r="G26" s="379"/>
      <c r="H26" s="371">
        <f t="shared" si="13"/>
        <v>6.0207928444712656E-2</v>
      </c>
      <c r="I26" s="372"/>
      <c r="J26" s="380">
        <f t="shared" si="14"/>
        <v>772083.61320041167</v>
      </c>
      <c r="K26" s="381"/>
      <c r="L26" s="388">
        <f t="shared" si="15"/>
        <v>240890.08731852844</v>
      </c>
      <c r="M26" s="388"/>
      <c r="N26" s="386">
        <f t="shared" si="16"/>
        <v>0.312</v>
      </c>
      <c r="O26" s="387"/>
      <c r="R26" s="391">
        <f t="shared" si="9"/>
        <v>772083.61320041167</v>
      </c>
      <c r="S26" s="392"/>
      <c r="T26" s="15">
        <f t="shared" si="17"/>
        <v>772083.61320041155</v>
      </c>
      <c r="U26" s="58">
        <v>96</v>
      </c>
    </row>
    <row r="27" spans="2:21" s="9" customFormat="1" ht="20.149999999999999" customHeight="1" x14ac:dyDescent="0.35">
      <c r="B27" s="60">
        <f t="shared" si="18"/>
        <v>10</v>
      </c>
      <c r="C27" s="363">
        <f t="shared" si="10"/>
        <v>772083.61320041155</v>
      </c>
      <c r="D27" s="368"/>
      <c r="E27" s="107" t="str">
        <f t="shared" si="11"/>
        <v>LTCG</v>
      </c>
      <c r="F27" s="378">
        <f t="shared" si="19"/>
        <v>50191.102841583059</v>
      </c>
      <c r="G27" s="379"/>
      <c r="H27" s="371">
        <f t="shared" si="13"/>
        <v>6.5007341152511722E-2</v>
      </c>
      <c r="I27" s="372"/>
      <c r="J27" s="380">
        <f t="shared" si="14"/>
        <v>772083.61320041167</v>
      </c>
      <c r="K27" s="381"/>
      <c r="L27" s="388">
        <f t="shared" si="15"/>
        <v>240890.08731852844</v>
      </c>
      <c r="M27" s="388"/>
      <c r="N27" s="386">
        <f t="shared" si="16"/>
        <v>0.312</v>
      </c>
      <c r="O27" s="387"/>
      <c r="R27" s="391">
        <f t="shared" si="9"/>
        <v>772083.61320041167</v>
      </c>
      <c r="S27" s="392"/>
      <c r="T27" s="15">
        <f t="shared" si="17"/>
        <v>772083.61320041155</v>
      </c>
      <c r="U27" s="58">
        <v>108</v>
      </c>
    </row>
    <row r="28" spans="2:21" s="9" customFormat="1" ht="20.149999999999999" customHeight="1" x14ac:dyDescent="0.35">
      <c r="B28" s="60" t="str">
        <f t="shared" si="18"/>
        <v/>
      </c>
      <c r="C28" s="363" t="str">
        <f t="shared" si="10"/>
        <v/>
      </c>
      <c r="D28" s="368"/>
      <c r="E28" s="107" t="str">
        <f t="shared" si="11"/>
        <v/>
      </c>
      <c r="F28" s="378" t="str">
        <f t="shared" si="19"/>
        <v/>
      </c>
      <c r="G28" s="379"/>
      <c r="H28" s="371" t="str">
        <f t="shared" si="13"/>
        <v/>
      </c>
      <c r="I28" s="372"/>
      <c r="J28" s="380" t="str">
        <f t="shared" si="14"/>
        <v/>
      </c>
      <c r="K28" s="381"/>
      <c r="L28" s="388" t="str">
        <f t="shared" si="15"/>
        <v/>
      </c>
      <c r="M28" s="388"/>
      <c r="N28" s="386" t="str">
        <f t="shared" si="16"/>
        <v/>
      </c>
      <c r="O28" s="387"/>
      <c r="R28" s="391">
        <f t="shared" si="9"/>
        <v>772083.61320041167</v>
      </c>
      <c r="S28" s="392"/>
      <c r="T28" s="15">
        <f t="shared" si="17"/>
        <v>772083.61320041155</v>
      </c>
      <c r="U28" s="58">
        <v>120</v>
      </c>
    </row>
    <row r="29" spans="2:21" s="9" customFormat="1" ht="20.149999999999999" customHeight="1" x14ac:dyDescent="0.35">
      <c r="B29" s="60" t="str">
        <f t="shared" si="18"/>
        <v/>
      </c>
      <c r="C29" s="363" t="str">
        <f t="shared" si="10"/>
        <v/>
      </c>
      <c r="D29" s="368"/>
      <c r="E29" s="107" t="str">
        <f t="shared" si="11"/>
        <v/>
      </c>
      <c r="F29" s="378" t="str">
        <f t="shared" si="19"/>
        <v/>
      </c>
      <c r="G29" s="379"/>
      <c r="H29" s="371" t="str">
        <f t="shared" si="13"/>
        <v/>
      </c>
      <c r="I29" s="372"/>
      <c r="J29" s="380" t="str">
        <f t="shared" si="14"/>
        <v/>
      </c>
      <c r="K29" s="381"/>
      <c r="L29" s="388" t="str">
        <f t="shared" si="15"/>
        <v/>
      </c>
      <c r="M29" s="388"/>
      <c r="N29" s="386" t="str">
        <f t="shared" si="16"/>
        <v/>
      </c>
      <c r="O29" s="387"/>
      <c r="R29" s="391">
        <f t="shared" si="9"/>
        <v>772083.61320041167</v>
      </c>
      <c r="S29" s="392"/>
      <c r="T29" s="15">
        <f t="shared" si="17"/>
        <v>772083.61320041155</v>
      </c>
      <c r="U29" s="58">
        <v>132</v>
      </c>
    </row>
    <row r="30" spans="2:21" s="9" customFormat="1" ht="20.149999999999999" customHeight="1" x14ac:dyDescent="0.35">
      <c r="B30" s="60" t="str">
        <f t="shared" si="18"/>
        <v/>
      </c>
      <c r="C30" s="363" t="str">
        <f t="shared" si="10"/>
        <v/>
      </c>
      <c r="D30" s="368"/>
      <c r="E30" s="107" t="str">
        <f t="shared" si="11"/>
        <v/>
      </c>
      <c r="F30" s="378" t="str">
        <f t="shared" si="19"/>
        <v/>
      </c>
      <c r="G30" s="379"/>
      <c r="H30" s="371" t="str">
        <f t="shared" si="13"/>
        <v/>
      </c>
      <c r="I30" s="372"/>
      <c r="J30" s="380" t="str">
        <f t="shared" si="14"/>
        <v/>
      </c>
      <c r="K30" s="381"/>
      <c r="L30" s="388" t="str">
        <f t="shared" si="15"/>
        <v/>
      </c>
      <c r="M30" s="388"/>
      <c r="N30" s="386" t="str">
        <f t="shared" si="16"/>
        <v/>
      </c>
      <c r="O30" s="387"/>
      <c r="R30" s="391">
        <f t="shared" si="9"/>
        <v>772083.61320041167</v>
      </c>
      <c r="S30" s="392"/>
      <c r="T30" s="15">
        <f t="shared" si="17"/>
        <v>772083.61320041155</v>
      </c>
      <c r="U30" s="58">
        <v>144</v>
      </c>
    </row>
    <row r="31" spans="2:21" s="9" customFormat="1" ht="20.149999999999999" customHeight="1" x14ac:dyDescent="0.35">
      <c r="B31" s="60" t="str">
        <f t="shared" si="18"/>
        <v/>
      </c>
      <c r="C31" s="363" t="str">
        <f t="shared" si="10"/>
        <v/>
      </c>
      <c r="D31" s="368"/>
      <c r="E31" s="107" t="str">
        <f t="shared" si="11"/>
        <v/>
      </c>
      <c r="F31" s="378" t="str">
        <f t="shared" si="19"/>
        <v/>
      </c>
      <c r="G31" s="379"/>
      <c r="H31" s="371" t="str">
        <f t="shared" si="13"/>
        <v/>
      </c>
      <c r="I31" s="372"/>
      <c r="J31" s="380" t="str">
        <f t="shared" si="14"/>
        <v/>
      </c>
      <c r="K31" s="381"/>
      <c r="L31" s="388" t="str">
        <f t="shared" si="15"/>
        <v/>
      </c>
      <c r="M31" s="388"/>
      <c r="N31" s="386" t="str">
        <f t="shared" si="16"/>
        <v/>
      </c>
      <c r="O31" s="387"/>
      <c r="R31" s="391">
        <f t="shared" si="9"/>
        <v>772083.61320041167</v>
      </c>
      <c r="S31" s="392"/>
      <c r="T31" s="15">
        <f t="shared" si="17"/>
        <v>772083.61320041155</v>
      </c>
      <c r="U31" s="58">
        <v>156</v>
      </c>
    </row>
    <row r="32" spans="2:21" s="9" customFormat="1" ht="20.149999999999999" customHeight="1" x14ac:dyDescent="0.35">
      <c r="B32" s="60" t="str">
        <f t="shared" si="18"/>
        <v/>
      </c>
      <c r="C32" s="363" t="str">
        <f t="shared" si="10"/>
        <v/>
      </c>
      <c r="D32" s="368"/>
      <c r="E32" s="107" t="str">
        <f t="shared" si="11"/>
        <v/>
      </c>
      <c r="F32" s="378" t="str">
        <f t="shared" si="19"/>
        <v/>
      </c>
      <c r="G32" s="379"/>
      <c r="H32" s="371" t="str">
        <f t="shared" si="13"/>
        <v/>
      </c>
      <c r="I32" s="372"/>
      <c r="J32" s="380" t="str">
        <f t="shared" si="14"/>
        <v/>
      </c>
      <c r="K32" s="381"/>
      <c r="L32" s="388" t="str">
        <f t="shared" si="15"/>
        <v/>
      </c>
      <c r="M32" s="388"/>
      <c r="N32" s="386" t="str">
        <f t="shared" si="16"/>
        <v/>
      </c>
      <c r="O32" s="387"/>
      <c r="R32" s="391">
        <f t="shared" si="9"/>
        <v>772083.61320041167</v>
      </c>
      <c r="S32" s="392"/>
      <c r="T32" s="15">
        <f t="shared" si="17"/>
        <v>772083.61320041155</v>
      </c>
      <c r="U32" s="58">
        <v>168</v>
      </c>
    </row>
    <row r="33" spans="2:28" s="9" customFormat="1" ht="20.149999999999999" customHeight="1" x14ac:dyDescent="0.35">
      <c r="B33" s="60" t="str">
        <f t="shared" si="18"/>
        <v/>
      </c>
      <c r="C33" s="363" t="str">
        <f t="shared" si="10"/>
        <v/>
      </c>
      <c r="D33" s="368"/>
      <c r="E33" s="107" t="str">
        <f t="shared" si="11"/>
        <v/>
      </c>
      <c r="F33" s="378" t="str">
        <f t="shared" si="19"/>
        <v/>
      </c>
      <c r="G33" s="379"/>
      <c r="H33" s="371" t="str">
        <f t="shared" si="13"/>
        <v/>
      </c>
      <c r="I33" s="372"/>
      <c r="J33" s="380" t="str">
        <f t="shared" si="14"/>
        <v/>
      </c>
      <c r="K33" s="381"/>
      <c r="L33" s="388" t="str">
        <f t="shared" si="15"/>
        <v/>
      </c>
      <c r="M33" s="388"/>
      <c r="N33" s="386" t="str">
        <f t="shared" si="16"/>
        <v/>
      </c>
      <c r="O33" s="387"/>
      <c r="R33" s="391">
        <f t="shared" si="9"/>
        <v>772083.61320041167</v>
      </c>
      <c r="S33" s="392"/>
      <c r="T33" s="15">
        <f t="shared" si="17"/>
        <v>772083.61320041155</v>
      </c>
      <c r="U33" s="58">
        <v>180</v>
      </c>
    </row>
    <row r="34" spans="2:28" s="9" customFormat="1" ht="20.149999999999999" customHeight="1" x14ac:dyDescent="0.35">
      <c r="B34" s="60" t="str">
        <f t="shared" si="18"/>
        <v/>
      </c>
      <c r="C34" s="363" t="str">
        <f t="shared" si="10"/>
        <v/>
      </c>
      <c r="D34" s="368"/>
      <c r="E34" s="107" t="str">
        <f t="shared" si="11"/>
        <v/>
      </c>
      <c r="F34" s="378" t="str">
        <f t="shared" si="19"/>
        <v/>
      </c>
      <c r="G34" s="379"/>
      <c r="H34" s="371" t="str">
        <f t="shared" si="13"/>
        <v/>
      </c>
      <c r="I34" s="372"/>
      <c r="J34" s="380" t="str">
        <f t="shared" si="14"/>
        <v/>
      </c>
      <c r="K34" s="381"/>
      <c r="L34" s="388" t="str">
        <f t="shared" si="15"/>
        <v/>
      </c>
      <c r="M34" s="388"/>
      <c r="N34" s="386" t="str">
        <f t="shared" si="16"/>
        <v/>
      </c>
      <c r="O34" s="387"/>
      <c r="R34" s="391">
        <f t="shared" si="9"/>
        <v>772083.61320041167</v>
      </c>
      <c r="S34" s="392"/>
      <c r="T34" s="15">
        <f t="shared" si="17"/>
        <v>772083.61320041155</v>
      </c>
      <c r="U34" s="58">
        <v>192</v>
      </c>
    </row>
    <row r="35" spans="2:28" s="9" customFormat="1" ht="20.149999999999999" customHeight="1" x14ac:dyDescent="0.35">
      <c r="B35" s="60" t="str">
        <f t="shared" si="18"/>
        <v/>
      </c>
      <c r="C35" s="363" t="str">
        <f t="shared" si="10"/>
        <v/>
      </c>
      <c r="D35" s="368"/>
      <c r="E35" s="107" t="str">
        <f t="shared" si="11"/>
        <v/>
      </c>
      <c r="F35" s="378" t="str">
        <f t="shared" si="19"/>
        <v/>
      </c>
      <c r="G35" s="379"/>
      <c r="H35" s="371" t="str">
        <f t="shared" si="13"/>
        <v/>
      </c>
      <c r="I35" s="372"/>
      <c r="J35" s="380" t="str">
        <f t="shared" si="14"/>
        <v/>
      </c>
      <c r="K35" s="381"/>
      <c r="L35" s="388" t="str">
        <f t="shared" si="15"/>
        <v/>
      </c>
      <c r="M35" s="388"/>
      <c r="N35" s="386" t="str">
        <f t="shared" si="16"/>
        <v/>
      </c>
      <c r="O35" s="387"/>
      <c r="R35" s="391">
        <f t="shared" si="9"/>
        <v>772083.61320041167</v>
      </c>
      <c r="S35" s="392"/>
      <c r="T35" s="15">
        <f t="shared" si="17"/>
        <v>772083.61320041155</v>
      </c>
      <c r="U35" s="58">
        <v>204</v>
      </c>
    </row>
    <row r="36" spans="2:28" s="9" customFormat="1" ht="20.149999999999999" customHeight="1" x14ac:dyDescent="0.35">
      <c r="B36" s="60" t="str">
        <f t="shared" si="18"/>
        <v/>
      </c>
      <c r="C36" s="363" t="str">
        <f t="shared" si="10"/>
        <v/>
      </c>
      <c r="D36" s="368"/>
      <c r="E36" s="107" t="str">
        <f t="shared" si="11"/>
        <v/>
      </c>
      <c r="F36" s="378" t="str">
        <f t="shared" si="19"/>
        <v/>
      </c>
      <c r="G36" s="379"/>
      <c r="H36" s="371" t="str">
        <f t="shared" si="13"/>
        <v/>
      </c>
      <c r="I36" s="372"/>
      <c r="J36" s="380" t="str">
        <f t="shared" si="14"/>
        <v/>
      </c>
      <c r="K36" s="381"/>
      <c r="L36" s="388" t="str">
        <f t="shared" si="15"/>
        <v/>
      </c>
      <c r="M36" s="388"/>
      <c r="N36" s="386" t="str">
        <f t="shared" si="16"/>
        <v/>
      </c>
      <c r="O36" s="387"/>
      <c r="R36" s="391">
        <f t="shared" si="9"/>
        <v>772083.61320041167</v>
      </c>
      <c r="S36" s="392"/>
      <c r="T36" s="15">
        <f t="shared" si="17"/>
        <v>772083.61320041155</v>
      </c>
      <c r="U36" s="58">
        <v>216</v>
      </c>
    </row>
    <row r="37" spans="2:28" s="9" customFormat="1" ht="20.149999999999999" customHeight="1" x14ac:dyDescent="0.35">
      <c r="B37" s="60" t="str">
        <f t="shared" si="18"/>
        <v/>
      </c>
      <c r="C37" s="363" t="str">
        <f t="shared" si="10"/>
        <v/>
      </c>
      <c r="D37" s="368"/>
      <c r="E37" s="107" t="str">
        <f t="shared" si="11"/>
        <v/>
      </c>
      <c r="F37" s="378" t="str">
        <f t="shared" si="19"/>
        <v/>
      </c>
      <c r="G37" s="379"/>
      <c r="H37" s="371" t="str">
        <f t="shared" si="13"/>
        <v/>
      </c>
      <c r="I37" s="372"/>
      <c r="J37" s="380" t="str">
        <f t="shared" si="14"/>
        <v/>
      </c>
      <c r="K37" s="381"/>
      <c r="L37" s="388" t="str">
        <f t="shared" si="15"/>
        <v/>
      </c>
      <c r="M37" s="388"/>
      <c r="N37" s="386" t="str">
        <f t="shared" si="16"/>
        <v/>
      </c>
      <c r="O37" s="387"/>
      <c r="R37" s="391">
        <f t="shared" si="9"/>
        <v>772083.61320041167</v>
      </c>
      <c r="S37" s="392"/>
      <c r="T37" s="15">
        <f t="shared" si="17"/>
        <v>772083.61320041155</v>
      </c>
      <c r="U37" s="58">
        <v>228</v>
      </c>
    </row>
    <row r="38" spans="2:28" s="9" customFormat="1" ht="20.149999999999999" customHeight="1" x14ac:dyDescent="0.35">
      <c r="B38" s="60" t="str">
        <f t="shared" si="18"/>
        <v/>
      </c>
      <c r="C38" s="363" t="str">
        <f t="shared" si="10"/>
        <v/>
      </c>
      <c r="D38" s="368"/>
      <c r="E38" s="107" t="str">
        <f t="shared" si="11"/>
        <v/>
      </c>
      <c r="F38" s="378" t="str">
        <f t="shared" si="19"/>
        <v/>
      </c>
      <c r="G38" s="379"/>
      <c r="H38" s="371" t="str">
        <f t="shared" si="13"/>
        <v/>
      </c>
      <c r="I38" s="372"/>
      <c r="J38" s="380" t="str">
        <f t="shared" si="14"/>
        <v/>
      </c>
      <c r="K38" s="381"/>
      <c r="L38" s="388" t="str">
        <f t="shared" si="15"/>
        <v/>
      </c>
      <c r="M38" s="388"/>
      <c r="N38" s="386" t="str">
        <f t="shared" si="16"/>
        <v/>
      </c>
      <c r="O38" s="387"/>
      <c r="R38" s="391">
        <f t="shared" si="9"/>
        <v>772083.61320041167</v>
      </c>
      <c r="S38" s="392"/>
      <c r="T38" s="15">
        <f t="shared" si="17"/>
        <v>772083.61320041155</v>
      </c>
      <c r="U38" s="58">
        <v>240</v>
      </c>
    </row>
    <row r="39" spans="2:28" s="9" customFormat="1" ht="20.149999999999999" customHeight="1" x14ac:dyDescent="0.35">
      <c r="B39" s="60" t="str">
        <f t="shared" si="18"/>
        <v/>
      </c>
      <c r="C39" s="363" t="str">
        <f t="shared" si="10"/>
        <v/>
      </c>
      <c r="D39" s="368"/>
      <c r="E39" s="107" t="str">
        <f t="shared" si="11"/>
        <v/>
      </c>
      <c r="F39" s="378" t="str">
        <f t="shared" si="19"/>
        <v/>
      </c>
      <c r="G39" s="379"/>
      <c r="H39" s="371" t="str">
        <f t="shared" si="13"/>
        <v/>
      </c>
      <c r="I39" s="372"/>
      <c r="J39" s="380" t="str">
        <f t="shared" si="14"/>
        <v/>
      </c>
      <c r="K39" s="381"/>
      <c r="L39" s="388" t="str">
        <f t="shared" si="15"/>
        <v/>
      </c>
      <c r="M39" s="388"/>
      <c r="N39" s="386" t="str">
        <f t="shared" si="16"/>
        <v/>
      </c>
      <c r="O39" s="387"/>
      <c r="R39" s="391">
        <f t="shared" si="9"/>
        <v>772083.61320041167</v>
      </c>
      <c r="S39" s="392"/>
      <c r="T39" s="15">
        <f t="shared" si="17"/>
        <v>772083.61320041155</v>
      </c>
      <c r="U39" s="58">
        <v>252</v>
      </c>
    </row>
    <row r="40" spans="2:28" s="9" customFormat="1" ht="20.149999999999999" customHeight="1" x14ac:dyDescent="0.35">
      <c r="B40" s="60" t="str">
        <f t="shared" si="18"/>
        <v/>
      </c>
      <c r="C40" s="363" t="str">
        <f t="shared" si="10"/>
        <v/>
      </c>
      <c r="D40" s="368"/>
      <c r="E40" s="107" t="str">
        <f t="shared" si="11"/>
        <v/>
      </c>
      <c r="F40" s="378" t="str">
        <f t="shared" si="19"/>
        <v/>
      </c>
      <c r="G40" s="379"/>
      <c r="H40" s="371" t="str">
        <f t="shared" si="13"/>
        <v/>
      </c>
      <c r="I40" s="372"/>
      <c r="J40" s="380" t="str">
        <f t="shared" si="14"/>
        <v/>
      </c>
      <c r="K40" s="381"/>
      <c r="L40" s="388" t="str">
        <f t="shared" si="15"/>
        <v/>
      </c>
      <c r="M40" s="388"/>
      <c r="N40" s="386" t="str">
        <f t="shared" si="16"/>
        <v/>
      </c>
      <c r="O40" s="387"/>
      <c r="R40" s="391">
        <f t="shared" si="9"/>
        <v>772083.61320041167</v>
      </c>
      <c r="S40" s="392"/>
      <c r="T40" s="15">
        <f t="shared" si="17"/>
        <v>772083.61320041155</v>
      </c>
      <c r="U40" s="58">
        <v>264</v>
      </c>
    </row>
    <row r="41" spans="2:28" s="9" customFormat="1" ht="20.149999999999999" customHeight="1" x14ac:dyDescent="0.35">
      <c r="B41" s="60" t="str">
        <f t="shared" si="18"/>
        <v/>
      </c>
      <c r="C41" s="363" t="str">
        <f t="shared" si="10"/>
        <v/>
      </c>
      <c r="D41" s="368"/>
      <c r="E41" s="107" t="str">
        <f t="shared" si="11"/>
        <v/>
      </c>
      <c r="F41" s="378" t="str">
        <f t="shared" si="19"/>
        <v/>
      </c>
      <c r="G41" s="379"/>
      <c r="H41" s="371" t="str">
        <f t="shared" si="13"/>
        <v/>
      </c>
      <c r="I41" s="372"/>
      <c r="J41" s="380" t="str">
        <f t="shared" si="14"/>
        <v/>
      </c>
      <c r="K41" s="381"/>
      <c r="L41" s="388" t="str">
        <f t="shared" si="15"/>
        <v/>
      </c>
      <c r="M41" s="388"/>
      <c r="N41" s="386" t="str">
        <f t="shared" si="16"/>
        <v/>
      </c>
      <c r="O41" s="387"/>
      <c r="R41" s="391">
        <f t="shared" si="9"/>
        <v>772083.61320041167</v>
      </c>
      <c r="S41" s="392"/>
      <c r="T41" s="15">
        <f t="shared" si="17"/>
        <v>772083.61320041155</v>
      </c>
      <c r="U41" s="58">
        <v>276</v>
      </c>
    </row>
    <row r="42" spans="2:28" s="9" customFormat="1" ht="20.149999999999999" customHeight="1" thickBot="1" x14ac:dyDescent="0.4">
      <c r="B42" s="60" t="str">
        <f t="shared" si="18"/>
        <v/>
      </c>
      <c r="C42" s="363" t="str">
        <f t="shared" si="10"/>
        <v/>
      </c>
      <c r="D42" s="368"/>
      <c r="E42" s="107" t="str">
        <f t="shared" si="11"/>
        <v/>
      </c>
      <c r="F42" s="378" t="str">
        <f t="shared" si="19"/>
        <v/>
      </c>
      <c r="G42" s="379"/>
      <c r="H42" s="371" t="str">
        <f t="shared" si="13"/>
        <v/>
      </c>
      <c r="I42" s="372"/>
      <c r="J42" s="380" t="str">
        <f t="shared" si="14"/>
        <v/>
      </c>
      <c r="K42" s="381"/>
      <c r="L42" s="388" t="str">
        <f t="shared" si="15"/>
        <v/>
      </c>
      <c r="M42" s="388"/>
      <c r="N42" s="386" t="str">
        <f t="shared" si="16"/>
        <v/>
      </c>
      <c r="O42" s="387"/>
      <c r="R42" s="391">
        <f t="shared" si="9"/>
        <v>772083.61320041167</v>
      </c>
      <c r="S42" s="392"/>
      <c r="T42" s="15">
        <f t="shared" si="17"/>
        <v>772083.61320041155</v>
      </c>
      <c r="U42" s="58">
        <v>288</v>
      </c>
    </row>
    <row r="43" spans="2:28" s="9" customFormat="1" ht="20.149999999999999" customHeight="1" thickTop="1" thickBot="1" x14ac:dyDescent="0.4">
      <c r="B43" s="375" t="str">
        <f>"Fund value at the end of "&amp;$H$12&amp;" years:"</f>
        <v>Fund value at the end of 10 years:</v>
      </c>
      <c r="C43" s="376"/>
      <c r="D43" s="376"/>
      <c r="E43" s="376"/>
      <c r="F43" s="376"/>
      <c r="G43" s="377"/>
      <c r="H43" s="369">
        <f>VLOOKUP($H$12*12,$B$49:$I$348,7,0)</f>
        <v>10000000.000000006</v>
      </c>
      <c r="I43" s="370"/>
      <c r="J43" s="108"/>
      <c r="K43" s="194" t="str">
        <f>"FD value after "&amp;$H$12&amp;" years:"</f>
        <v>FD value after 10 years:</v>
      </c>
      <c r="L43" s="194"/>
      <c r="M43" s="194"/>
      <c r="N43" s="369">
        <f>N348</f>
        <v>10000000</v>
      </c>
      <c r="O43" s="406"/>
      <c r="R43"/>
      <c r="S43"/>
      <c r="T43"/>
      <c r="U43"/>
    </row>
    <row r="44" spans="2:28" s="9" customFormat="1" ht="20.149999999999999" customHeight="1" thickTop="1" x14ac:dyDescent="0.35">
      <c r="B44" s="373" t="s">
        <v>462</v>
      </c>
      <c r="C44" s="373"/>
      <c r="D44" s="373"/>
      <c r="E44" s="373"/>
      <c r="F44" s="373"/>
      <c r="G44" s="373"/>
      <c r="H44" s="373"/>
      <c r="I44" s="373"/>
      <c r="J44" s="373"/>
      <c r="K44" s="373"/>
      <c r="L44" s="373"/>
      <c r="M44" s="373"/>
      <c r="N44" s="373"/>
      <c r="O44" s="373"/>
    </row>
    <row r="45" spans="2:28" s="9" customFormat="1" ht="20.149999999999999" customHeight="1" thickBot="1" x14ac:dyDescent="0.4">
      <c r="B45" s="374"/>
      <c r="C45" s="374"/>
      <c r="D45" s="374"/>
      <c r="E45" s="374"/>
      <c r="F45" s="374"/>
      <c r="G45" s="374"/>
      <c r="H45" s="374"/>
      <c r="I45" s="374"/>
      <c r="J45" s="374"/>
      <c r="K45" s="374"/>
      <c r="L45" s="374"/>
      <c r="M45" s="374"/>
      <c r="N45" s="374"/>
      <c r="O45" s="374"/>
      <c r="R45" s="9" t="s">
        <v>351</v>
      </c>
      <c r="T45" s="35">
        <f>INDEX($S$49:$S$348,MATCH($H$12*12,$X$49:$X$348,0))*(INDEX($D$49:$D$348,MATCH($H$12*12,$X$49:$X$348,0))-FV(V12,$H$12-1,,-10))</f>
        <v>1484376.6469768421</v>
      </c>
      <c r="V45" s="9" t="s">
        <v>350</v>
      </c>
      <c r="X45" s="35">
        <f>INDEX($S$49:$S$348,MATCH($H$12*12,$X$49:$X$348,0))*(INDEX($D$49:$D$348,MATCH($H$12*12,$X$49:$X$348,0))-10)</f>
        <v>5368065.1191531457</v>
      </c>
      <c r="Z45" s="9" t="s">
        <v>349</v>
      </c>
      <c r="AB45" s="35">
        <f>INDEX($S$49:$S$348,MATCH($H$12*12,$X$49:$X$348,0))*(INDEX($D$49:$D$348,MATCH($H$12*12,$X$49:$X$348,0))-10)</f>
        <v>5368065.1191531457</v>
      </c>
    </row>
    <row r="46" spans="2:28" s="9" customFormat="1" ht="20.149999999999999" customHeight="1" thickTop="1" x14ac:dyDescent="0.35">
      <c r="B46" s="393" t="s">
        <v>75</v>
      </c>
      <c r="C46" s="394"/>
      <c r="D46" s="394"/>
      <c r="E46" s="394"/>
      <c r="F46" s="394"/>
      <c r="G46" s="394"/>
      <c r="H46" s="394"/>
      <c r="I46" s="394"/>
      <c r="J46" s="395" t="s">
        <v>76</v>
      </c>
      <c r="K46" s="396"/>
      <c r="L46" s="396"/>
      <c r="M46" s="396"/>
      <c r="N46" s="396"/>
      <c r="O46" s="397"/>
    </row>
    <row r="47" spans="2:28" s="9" customFormat="1" ht="20.149999999999999" customHeight="1" x14ac:dyDescent="0.35">
      <c r="B47" s="400" t="s">
        <v>77</v>
      </c>
      <c r="C47" s="366" t="s">
        <v>78</v>
      </c>
      <c r="D47" s="382" t="s">
        <v>84</v>
      </c>
      <c r="E47" s="402" t="s">
        <v>79</v>
      </c>
      <c r="F47" s="404" t="s">
        <v>379</v>
      </c>
      <c r="G47" s="475" t="s">
        <v>80</v>
      </c>
      <c r="H47" s="458" t="s">
        <v>81</v>
      </c>
      <c r="I47" s="477"/>
      <c r="J47" s="454" t="s">
        <v>82</v>
      </c>
      <c r="K47" s="455"/>
      <c r="L47" s="458" t="s">
        <v>80</v>
      </c>
      <c r="M47" s="455"/>
      <c r="N47" s="458" t="s">
        <v>83</v>
      </c>
      <c r="O47" s="460"/>
      <c r="R47" s="398" t="s">
        <v>85</v>
      </c>
      <c r="S47" s="139" t="s">
        <v>348</v>
      </c>
      <c r="T47" s="53" t="s">
        <v>86</v>
      </c>
      <c r="U47" s="53"/>
      <c r="V47"/>
      <c r="W47"/>
    </row>
    <row r="48" spans="2:28" s="9" customFormat="1" ht="20.149999999999999" customHeight="1" x14ac:dyDescent="0.35">
      <c r="B48" s="401"/>
      <c r="C48" s="367"/>
      <c r="D48" s="383"/>
      <c r="E48" s="403"/>
      <c r="F48" s="405"/>
      <c r="G48" s="476"/>
      <c r="H48" s="459"/>
      <c r="I48" s="478"/>
      <c r="J48" s="456"/>
      <c r="K48" s="457"/>
      <c r="L48" s="459"/>
      <c r="M48" s="457"/>
      <c r="N48" s="459"/>
      <c r="O48" s="461"/>
      <c r="R48" s="399"/>
      <c r="S48" s="32">
        <f>H5/10</f>
        <v>1000000</v>
      </c>
      <c r="V48"/>
      <c r="W48"/>
    </row>
    <row r="49" spans="1:25" s="9" customFormat="1" ht="20.149999999999999" customHeight="1" x14ac:dyDescent="0.35">
      <c r="B49" s="60">
        <v>1</v>
      </c>
      <c r="C49" s="34">
        <f>T49</f>
        <v>64340.301100034303</v>
      </c>
      <c r="D49" s="33">
        <f>10*(1+(1+$H$6)^(1/12)-1)</f>
        <v>10.064340301100035</v>
      </c>
      <c r="E49" s="34">
        <f>IF(AND(OR($N$5="Other",$N$5="Debt"), B49&lt;24),R49*(D49-10), IF(AND($N$5="Equity", B49&lt;12),R49*(D49-10), 0))</f>
        <v>411.320982974976</v>
      </c>
      <c r="F49" s="15">
        <f>IF(AND(OR($N$5="Other",$N$5="Debt"), B49&gt;=24),R49*(D49-10), IF(AND($N$5="Equity", B49&gt;=12),R49*(D49-10),0))</f>
        <v>0</v>
      </c>
      <c r="G49" s="15">
        <f>IF(AND($N$5="Equity", B49&lt; 12), E49*20%, IF(AND($N$5="Equity", B49&gt;= 12),F49*12.5%, IF(AND($N$5="Other", B49&lt;24),E49*$H$8, IF(AND($N$5="Other", B49&gt;=24),F49*12.5%,F49*$H$8))))</f>
        <v>82.264196594995212</v>
      </c>
      <c r="H49" s="363">
        <f t="shared" ref="H49:H112" si="20">S49*D49</f>
        <v>10000000</v>
      </c>
      <c r="I49" s="364"/>
      <c r="J49" s="462">
        <f t="shared" ref="J49:J80" si="21">$H$5*((1+$H$7)^(1/12)-1)</f>
        <v>64340.301100034303</v>
      </c>
      <c r="K49" s="463"/>
      <c r="L49" s="363">
        <f t="shared" ref="L49:L80" si="22">J49*$H$8</f>
        <v>20074.173943210702</v>
      </c>
      <c r="M49" s="463"/>
      <c r="N49" s="391">
        <f t="shared" ref="N49:N80" si="23">$H$5</f>
        <v>10000000</v>
      </c>
      <c r="O49" s="470"/>
      <c r="P49" s="9">
        <f t="shared" ref="P49:P112" si="24">ROUNDUP(B49/12,0) - 1</f>
        <v>0</v>
      </c>
      <c r="R49" s="15">
        <f t="shared" ref="R49:R112" si="25">IF($X$16/D49&gt;S48,S48,$X$16/D49)</f>
        <v>6392.8980117059327</v>
      </c>
      <c r="S49" s="35">
        <f t="shared" ref="S49:S80" si="26">S48-R49</f>
        <v>993607.10198829405</v>
      </c>
      <c r="T49" s="36">
        <f t="shared" ref="T49:T112" si="27">IF($X$16/D49&gt;S48,S48*D49,$X$16)</f>
        <v>64340.301100034303</v>
      </c>
      <c r="V49"/>
      <c r="W49"/>
      <c r="X49" s="9">
        <v>1</v>
      </c>
      <c r="Y49" s="9">
        <v>1</v>
      </c>
    </row>
    <row r="50" spans="1:25" s="9" customFormat="1" ht="20.149999999999999" customHeight="1" x14ac:dyDescent="0.35">
      <c r="B50" s="63">
        <v>2</v>
      </c>
      <c r="C50" s="39">
        <f t="shared" ref="C50:C108" si="28">T50</f>
        <v>64340.301100034303</v>
      </c>
      <c r="D50" s="38">
        <f t="shared" ref="D50:D81" si="29">D49*(1+(1+$H$6)^(1/12)-1)</f>
        <v>10.129094569634633</v>
      </c>
      <c r="E50" s="39">
        <f t="shared" ref="E50:E113" si="30">IF(AND(OR($N$5="Other",$N$5="Debt"), B50&lt;24),R50*(D50-10), IF(AND($N$5="Equity", B50&lt;12),R50*(D50-10), 0))</f>
        <v>820.01243285570797</v>
      </c>
      <c r="F50" s="40">
        <f t="shared" ref="F50:F113" si="31">IF(AND(OR($N$5="Other",$N$5="Debt"), B50&gt;=24),R50*(D50-10), IF(AND($N$5="Equity", B50&gt;=12),R50*(D50-10),0))</f>
        <v>0</v>
      </c>
      <c r="G50" s="40">
        <f t="shared" ref="G50:G113" si="32">IF(AND($N$5="Equity", B50&lt; 12), E50*20%, IF(AND($N$5="Equity", B50&gt;= 12),F50*12.5%, IF(AND($N$5="Other", B50&lt;24),E50*$H$8, IF(AND($N$5="Other", B50&gt;=24),F50*12.5%,F50*$H$8))))</f>
        <v>164.00248657114162</v>
      </c>
      <c r="H50" s="360">
        <f t="shared" si="20"/>
        <v>10000000</v>
      </c>
      <c r="I50" s="365"/>
      <c r="J50" s="362">
        <f t="shared" si="21"/>
        <v>64340.301100034303</v>
      </c>
      <c r="K50" s="361"/>
      <c r="L50" s="360">
        <f t="shared" si="22"/>
        <v>20074.173943210702</v>
      </c>
      <c r="M50" s="361"/>
      <c r="N50" s="358">
        <f t="shared" si="23"/>
        <v>10000000</v>
      </c>
      <c r="O50" s="359"/>
      <c r="P50" s="9">
        <f t="shared" si="24"/>
        <v>0</v>
      </c>
      <c r="R50" s="40">
        <f t="shared" si="25"/>
        <v>6352.0288667178593</v>
      </c>
      <c r="S50" s="35">
        <f t="shared" si="26"/>
        <v>987255.07312157622</v>
      </c>
      <c r="T50" s="36">
        <f t="shared" si="27"/>
        <v>64340.301100034303</v>
      </c>
      <c r="V50"/>
      <c r="W50"/>
      <c r="X50" s="9">
        <v>2</v>
      </c>
      <c r="Y50" s="9">
        <v>1</v>
      </c>
    </row>
    <row r="51" spans="1:25" s="9" customFormat="1" ht="20.149999999999999" customHeight="1" x14ac:dyDescent="0.35">
      <c r="B51" s="60">
        <v>3</v>
      </c>
      <c r="C51" s="34">
        <f t="shared" si="28"/>
        <v>64340.301100034303</v>
      </c>
      <c r="D51" s="33">
        <f t="shared" si="29"/>
        <v>10.194265469082735</v>
      </c>
      <c r="E51" s="34">
        <f t="shared" si="30"/>
        <v>1226.0911599791041</v>
      </c>
      <c r="F51" s="15">
        <f t="shared" si="31"/>
        <v>0</v>
      </c>
      <c r="G51" s="15">
        <f t="shared" si="32"/>
        <v>245.21823199582082</v>
      </c>
      <c r="H51" s="363">
        <f t="shared" si="20"/>
        <v>10000000</v>
      </c>
      <c r="I51" s="364"/>
      <c r="J51" s="462">
        <f t="shared" si="21"/>
        <v>64340.301100034303</v>
      </c>
      <c r="K51" s="463"/>
      <c r="L51" s="363">
        <f t="shared" si="22"/>
        <v>20074.173943210702</v>
      </c>
      <c r="M51" s="463"/>
      <c r="N51" s="391">
        <f t="shared" si="23"/>
        <v>10000000</v>
      </c>
      <c r="O51" s="470"/>
      <c r="P51" s="9">
        <f t="shared" si="24"/>
        <v>0</v>
      </c>
      <c r="R51" s="15">
        <f t="shared" si="25"/>
        <v>6311.4209940055198</v>
      </c>
      <c r="S51" s="35">
        <f t="shared" si="26"/>
        <v>980943.65212757071</v>
      </c>
      <c r="T51" s="36">
        <f t="shared" si="27"/>
        <v>64340.301100034303</v>
      </c>
      <c r="V51"/>
      <c r="W51"/>
      <c r="X51" s="9">
        <v>3</v>
      </c>
      <c r="Y51" s="9">
        <v>1</v>
      </c>
    </row>
    <row r="52" spans="1:25" s="9" customFormat="1" ht="20.149999999999999" customHeight="1" x14ac:dyDescent="0.35">
      <c r="B52" s="63">
        <v>4</v>
      </c>
      <c r="C52" s="39">
        <f t="shared" si="28"/>
        <v>64340.301100034303</v>
      </c>
      <c r="D52" s="38">
        <f t="shared" si="29"/>
        <v>10.259855680060182</v>
      </c>
      <c r="E52" s="39">
        <f t="shared" si="30"/>
        <v>1629.5738672152784</v>
      </c>
      <c r="F52" s="40">
        <f t="shared" si="31"/>
        <v>0</v>
      </c>
      <c r="G52" s="40">
        <f t="shared" si="32"/>
        <v>325.91477344305571</v>
      </c>
      <c r="H52" s="360">
        <f t="shared" si="20"/>
        <v>10000000.000000002</v>
      </c>
      <c r="I52" s="365"/>
      <c r="J52" s="362">
        <f t="shared" si="21"/>
        <v>64340.301100034303</v>
      </c>
      <c r="K52" s="361"/>
      <c r="L52" s="360">
        <f t="shared" si="22"/>
        <v>20074.173943210702</v>
      </c>
      <c r="M52" s="361"/>
      <c r="N52" s="358">
        <f t="shared" si="23"/>
        <v>10000000</v>
      </c>
      <c r="O52" s="359"/>
      <c r="P52" s="9">
        <f t="shared" si="24"/>
        <v>0</v>
      </c>
      <c r="R52" s="40">
        <f t="shared" si="25"/>
        <v>6271.0727232819027</v>
      </c>
      <c r="S52" s="35">
        <f t="shared" si="26"/>
        <v>974672.57940428879</v>
      </c>
      <c r="T52" s="36">
        <f t="shared" si="27"/>
        <v>64340.301100034303</v>
      </c>
      <c r="V52"/>
      <c r="W52"/>
      <c r="X52" s="9">
        <v>4</v>
      </c>
      <c r="Y52" s="9">
        <v>1</v>
      </c>
    </row>
    <row r="53" spans="1:25" s="9" customFormat="1" ht="20.149999999999999" customHeight="1" x14ac:dyDescent="0.35">
      <c r="B53" s="60">
        <v>5</v>
      </c>
      <c r="C53" s="34">
        <f t="shared" si="28"/>
        <v>64340.301100034303</v>
      </c>
      <c r="D53" s="33">
        <f t="shared" si="29"/>
        <v>10.32586790042998</v>
      </c>
      <c r="E53" s="34">
        <f t="shared" si="30"/>
        <v>2030.4771506546049</v>
      </c>
      <c r="F53" s="15">
        <f t="shared" si="31"/>
        <v>0</v>
      </c>
      <c r="G53" s="15">
        <f t="shared" si="32"/>
        <v>406.09543013092099</v>
      </c>
      <c r="H53" s="363">
        <f t="shared" si="20"/>
        <v>10000000.000000002</v>
      </c>
      <c r="I53" s="364"/>
      <c r="J53" s="462">
        <f t="shared" si="21"/>
        <v>64340.301100034303</v>
      </c>
      <c r="K53" s="463"/>
      <c r="L53" s="363">
        <f t="shared" si="22"/>
        <v>20074.173943210702</v>
      </c>
      <c r="M53" s="463"/>
      <c r="N53" s="391">
        <f t="shared" si="23"/>
        <v>10000000</v>
      </c>
      <c r="O53" s="470"/>
      <c r="P53" s="9">
        <f t="shared" si="24"/>
        <v>0</v>
      </c>
      <c r="R53" s="15">
        <f t="shared" si="25"/>
        <v>6230.9823949379697</v>
      </c>
      <c r="S53" s="35">
        <f t="shared" si="26"/>
        <v>968441.59700935078</v>
      </c>
      <c r="T53" s="36">
        <f t="shared" si="27"/>
        <v>64340.301100034303</v>
      </c>
      <c r="V53"/>
      <c r="W53"/>
      <c r="X53" s="9">
        <v>5</v>
      </c>
      <c r="Y53" s="9">
        <v>1</v>
      </c>
    </row>
    <row r="54" spans="1:25" s="9" customFormat="1" ht="20.149999999999999" customHeight="1" x14ac:dyDescent="0.35">
      <c r="B54" s="63">
        <v>6</v>
      </c>
      <c r="C54" s="39">
        <f t="shared" si="28"/>
        <v>64340.301100034303</v>
      </c>
      <c r="D54" s="38">
        <f t="shared" si="29"/>
        <v>10.392304845413264</v>
      </c>
      <c r="E54" s="39">
        <f t="shared" si="30"/>
        <v>2428.8175002903386</v>
      </c>
      <c r="F54" s="40">
        <f t="shared" si="31"/>
        <v>0</v>
      </c>
      <c r="G54" s="40">
        <f t="shared" si="32"/>
        <v>485.76350005806773</v>
      </c>
      <c r="H54" s="360">
        <f t="shared" si="20"/>
        <v>10000000.000000002</v>
      </c>
      <c r="I54" s="365"/>
      <c r="J54" s="362">
        <f t="shared" si="21"/>
        <v>64340.301100034303</v>
      </c>
      <c r="K54" s="361"/>
      <c r="L54" s="360">
        <f t="shared" si="22"/>
        <v>20074.173943210702</v>
      </c>
      <c r="M54" s="361"/>
      <c r="N54" s="358">
        <f t="shared" si="23"/>
        <v>10000000</v>
      </c>
      <c r="O54" s="359"/>
      <c r="P54" s="9">
        <f t="shared" si="24"/>
        <v>0</v>
      </c>
      <c r="R54" s="40">
        <f t="shared" si="25"/>
        <v>6191.148359974396</v>
      </c>
      <c r="S54" s="35">
        <f t="shared" si="26"/>
        <v>962250.4486493764</v>
      </c>
      <c r="T54" s="36">
        <f t="shared" si="27"/>
        <v>64340.301100034303</v>
      </c>
      <c r="V54"/>
      <c r="W54"/>
      <c r="X54" s="9">
        <v>6</v>
      </c>
      <c r="Y54" s="9">
        <v>1</v>
      </c>
    </row>
    <row r="55" spans="1:25" s="9" customFormat="1" ht="20.149999999999999" customHeight="1" x14ac:dyDescent="0.35">
      <c r="B55" s="60">
        <v>7</v>
      </c>
      <c r="C55" s="34">
        <f t="shared" si="28"/>
        <v>64340.301100034303</v>
      </c>
      <c r="D55" s="33">
        <f t="shared" si="29"/>
        <v>10.459169247700988</v>
      </c>
      <c r="E55" s="34">
        <f t="shared" si="30"/>
        <v>2824.6113006969085</v>
      </c>
      <c r="F55" s="15">
        <f t="shared" si="31"/>
        <v>0</v>
      </c>
      <c r="G55" s="15">
        <f t="shared" si="32"/>
        <v>564.92226013938171</v>
      </c>
      <c r="H55" s="363">
        <f t="shared" si="20"/>
        <v>10000000.000000002</v>
      </c>
      <c r="I55" s="364"/>
      <c r="J55" s="462">
        <f t="shared" si="21"/>
        <v>64340.301100034303</v>
      </c>
      <c r="K55" s="463"/>
      <c r="L55" s="363">
        <f t="shared" si="22"/>
        <v>20074.173943210702</v>
      </c>
      <c r="M55" s="463"/>
      <c r="N55" s="391">
        <f t="shared" si="23"/>
        <v>10000000</v>
      </c>
      <c r="O55" s="470"/>
      <c r="P55" s="9">
        <f t="shared" si="24"/>
        <v>0</v>
      </c>
      <c r="R55" s="15">
        <f t="shared" si="25"/>
        <v>6151.5689799337397</v>
      </c>
      <c r="S55" s="35">
        <f t="shared" si="26"/>
        <v>956098.87966944266</v>
      </c>
      <c r="T55" s="36">
        <f t="shared" si="27"/>
        <v>64340.301100034303</v>
      </c>
      <c r="V55"/>
      <c r="W55"/>
      <c r="X55" s="9">
        <v>7</v>
      </c>
      <c r="Y55" s="9">
        <v>1</v>
      </c>
    </row>
    <row r="56" spans="1:25" ht="20.149999999999999" customHeight="1" x14ac:dyDescent="0.35">
      <c r="B56" s="63">
        <v>8</v>
      </c>
      <c r="C56" s="39">
        <f t="shared" si="28"/>
        <v>64340.301100034303</v>
      </c>
      <c r="D56" s="38">
        <f t="shared" si="29"/>
        <v>10.526463857566318</v>
      </c>
      <c r="E56" s="39">
        <f t="shared" si="30"/>
        <v>3217.8748317038121</v>
      </c>
      <c r="F56" s="40">
        <f t="shared" si="31"/>
        <v>0</v>
      </c>
      <c r="G56" s="40">
        <f t="shared" si="32"/>
        <v>643.57496634076244</v>
      </c>
      <c r="H56" s="360">
        <f t="shared" si="20"/>
        <v>10000000.000000002</v>
      </c>
      <c r="I56" s="365"/>
      <c r="J56" s="362">
        <f t="shared" si="21"/>
        <v>64340.301100034303</v>
      </c>
      <c r="K56" s="361"/>
      <c r="L56" s="360">
        <f t="shared" si="22"/>
        <v>20074.173943210702</v>
      </c>
      <c r="M56" s="361"/>
      <c r="N56" s="358">
        <f t="shared" si="23"/>
        <v>10000000</v>
      </c>
      <c r="O56" s="359"/>
      <c r="P56" s="9">
        <f t="shared" si="24"/>
        <v>0</v>
      </c>
      <c r="R56" s="40">
        <f t="shared" si="25"/>
        <v>6112.2426268330491</v>
      </c>
      <c r="S56" s="35">
        <f t="shared" si="26"/>
        <v>949986.63704260963</v>
      </c>
      <c r="T56" s="36">
        <f t="shared" si="27"/>
        <v>64340.301100034303</v>
      </c>
      <c r="V56"/>
      <c r="W56"/>
      <c r="X56" s="9">
        <v>8</v>
      </c>
      <c r="Y56" s="9">
        <v>1</v>
      </c>
    </row>
    <row r="57" spans="1:25" ht="20.149999999999999" customHeight="1" x14ac:dyDescent="0.35">
      <c r="B57" s="60">
        <v>9</v>
      </c>
      <c r="C57" s="34">
        <f t="shared" si="28"/>
        <v>64340.301100034303</v>
      </c>
      <c r="D57" s="33">
        <f t="shared" si="29"/>
        <v>10.594191442977763</v>
      </c>
      <c r="E57" s="34">
        <f t="shared" si="30"/>
        <v>3608.6242690652684</v>
      </c>
      <c r="F57" s="15">
        <f t="shared" si="31"/>
        <v>0</v>
      </c>
      <c r="G57" s="15">
        <f t="shared" si="32"/>
        <v>721.72485381305376</v>
      </c>
      <c r="H57" s="363">
        <f t="shared" si="20"/>
        <v>10000000.000000002</v>
      </c>
      <c r="I57" s="364"/>
      <c r="J57" s="462">
        <f t="shared" si="21"/>
        <v>64340.301100034303</v>
      </c>
      <c r="K57" s="463"/>
      <c r="L57" s="363">
        <f t="shared" si="22"/>
        <v>20074.173943210702</v>
      </c>
      <c r="M57" s="463"/>
      <c r="N57" s="391">
        <f t="shared" si="23"/>
        <v>10000000</v>
      </c>
      <c r="O57" s="470"/>
      <c r="P57" s="9">
        <f t="shared" si="24"/>
        <v>0</v>
      </c>
      <c r="R57" s="15">
        <f t="shared" si="25"/>
        <v>6073.1676830969036</v>
      </c>
      <c r="S57" s="35">
        <f t="shared" si="26"/>
        <v>943913.46935951267</v>
      </c>
      <c r="T57" s="36">
        <f t="shared" si="27"/>
        <v>64340.301100034303</v>
      </c>
      <c r="V57"/>
      <c r="W57"/>
      <c r="X57" s="9">
        <v>9</v>
      </c>
      <c r="Y57" s="9">
        <v>1</v>
      </c>
    </row>
    <row r="58" spans="1:25" ht="20.149999999999999" customHeight="1" x14ac:dyDescent="0.35">
      <c r="B58" s="63">
        <v>10</v>
      </c>
      <c r="C58" s="39">
        <f t="shared" si="28"/>
        <v>64340.301100034303</v>
      </c>
      <c r="D58" s="38">
        <f t="shared" si="29"/>
        <v>10.662354789713023</v>
      </c>
      <c r="E58" s="39">
        <f t="shared" si="30"/>
        <v>3996.8756851255366</v>
      </c>
      <c r="F58" s="40">
        <f t="shared" si="31"/>
        <v>0</v>
      </c>
      <c r="G58" s="40">
        <f t="shared" si="32"/>
        <v>799.37513702510739</v>
      </c>
      <c r="H58" s="360">
        <f t="shared" si="20"/>
        <v>10000000.000000002</v>
      </c>
      <c r="I58" s="365"/>
      <c r="J58" s="362">
        <f t="shared" si="21"/>
        <v>64340.301100034303</v>
      </c>
      <c r="K58" s="361"/>
      <c r="L58" s="360">
        <f t="shared" si="22"/>
        <v>20074.173943210702</v>
      </c>
      <c r="M58" s="361"/>
      <c r="N58" s="358">
        <f t="shared" si="23"/>
        <v>10000000</v>
      </c>
      <c r="O58" s="359"/>
      <c r="P58" s="9">
        <f t="shared" si="24"/>
        <v>0</v>
      </c>
      <c r="R58" s="40">
        <f t="shared" si="25"/>
        <v>6034.342541490877</v>
      </c>
      <c r="S58" s="35">
        <f t="shared" si="26"/>
        <v>937879.12681802176</v>
      </c>
      <c r="T58" s="36">
        <f t="shared" si="27"/>
        <v>64340.301100034303</v>
      </c>
      <c r="V58"/>
      <c r="W58"/>
      <c r="X58" s="9">
        <v>10</v>
      </c>
      <c r="Y58" s="9">
        <v>1</v>
      </c>
    </row>
    <row r="59" spans="1:25" ht="20.149999999999999" customHeight="1" x14ac:dyDescent="0.35">
      <c r="B59" s="60">
        <v>11</v>
      </c>
      <c r="C59" s="34">
        <f t="shared" si="28"/>
        <v>64340.301100034303</v>
      </c>
      <c r="D59" s="33">
        <f t="shared" si="29"/>
        <v>10.730956701473575</v>
      </c>
      <c r="E59" s="34">
        <f t="shared" si="30"/>
        <v>4382.6450494800292</v>
      </c>
      <c r="F59" s="15">
        <f t="shared" si="31"/>
        <v>0</v>
      </c>
      <c r="G59" s="15">
        <f t="shared" si="32"/>
        <v>876.52900989600585</v>
      </c>
      <c r="H59" s="363">
        <f t="shared" si="20"/>
        <v>10000000.000000002</v>
      </c>
      <c r="I59" s="364"/>
      <c r="J59" s="462">
        <f t="shared" si="21"/>
        <v>64340.301100034303</v>
      </c>
      <c r="K59" s="463"/>
      <c r="L59" s="363">
        <f t="shared" si="22"/>
        <v>20074.173943210702</v>
      </c>
      <c r="M59" s="463"/>
      <c r="N59" s="391">
        <f t="shared" si="23"/>
        <v>10000000</v>
      </c>
      <c r="O59" s="470"/>
      <c r="P59" s="9">
        <f t="shared" si="24"/>
        <v>0</v>
      </c>
      <c r="R59" s="15">
        <f t="shared" si="25"/>
        <v>5995.7656050554269</v>
      </c>
      <c r="S59" s="35">
        <f t="shared" si="26"/>
        <v>931883.36121296638</v>
      </c>
      <c r="T59" s="36">
        <f t="shared" si="27"/>
        <v>64340.301100034303</v>
      </c>
      <c r="V59"/>
      <c r="W59"/>
      <c r="X59" s="9">
        <v>11</v>
      </c>
      <c r="Y59" s="9">
        <v>1</v>
      </c>
    </row>
    <row r="60" spans="1:25" ht="20.149999999999999" customHeight="1" x14ac:dyDescent="0.35">
      <c r="B60" s="63">
        <v>12</v>
      </c>
      <c r="C60" s="39">
        <f t="shared" si="28"/>
        <v>64340.301100034303</v>
      </c>
      <c r="D60" s="38">
        <f t="shared" si="29"/>
        <v>10.799999999999999</v>
      </c>
      <c r="E60" s="39">
        <f t="shared" si="30"/>
        <v>0</v>
      </c>
      <c r="F60" s="40">
        <f t="shared" si="31"/>
        <v>4765.9482296321648</v>
      </c>
      <c r="G60" s="40">
        <f t="shared" si="32"/>
        <v>595.7435287040206</v>
      </c>
      <c r="H60" s="360">
        <f t="shared" si="20"/>
        <v>10000000.000000002</v>
      </c>
      <c r="I60" s="365"/>
      <c r="J60" s="362">
        <f t="shared" si="21"/>
        <v>64340.301100034303</v>
      </c>
      <c r="K60" s="361"/>
      <c r="L60" s="360">
        <f t="shared" si="22"/>
        <v>20074.173943210702</v>
      </c>
      <c r="M60" s="361"/>
      <c r="N60" s="358">
        <f t="shared" si="23"/>
        <v>10000000</v>
      </c>
      <c r="O60" s="359"/>
      <c r="P60" s="9">
        <f t="shared" si="24"/>
        <v>0</v>
      </c>
      <c r="R60" s="40">
        <f t="shared" si="25"/>
        <v>5957.4352870402136</v>
      </c>
      <c r="S60" s="35">
        <f t="shared" si="26"/>
        <v>925925.92592592619</v>
      </c>
      <c r="T60" s="36">
        <f t="shared" si="27"/>
        <v>64340.301100034303</v>
      </c>
      <c r="V60"/>
      <c r="W60"/>
      <c r="X60" s="9">
        <v>12</v>
      </c>
      <c r="Y60" s="9">
        <v>1</v>
      </c>
    </row>
    <row r="61" spans="1:25" ht="20.149999999999999" customHeight="1" x14ac:dyDescent="0.35">
      <c r="B61" s="60">
        <v>13</v>
      </c>
      <c r="C61" s="34">
        <f t="shared" si="28"/>
        <v>64340.301100034303</v>
      </c>
      <c r="D61" s="33">
        <f t="shared" si="29"/>
        <v>10.869487525188037</v>
      </c>
      <c r="E61" s="34">
        <f t="shared" si="30"/>
        <v>0</v>
      </c>
      <c r="F61" s="15">
        <f t="shared" si="31"/>
        <v>5146.8009916460287</v>
      </c>
      <c r="G61" s="15">
        <f t="shared" si="32"/>
        <v>643.35012395575359</v>
      </c>
      <c r="H61" s="363">
        <f t="shared" si="20"/>
        <v>10000000.000000002</v>
      </c>
      <c r="I61" s="364"/>
      <c r="J61" s="462">
        <f t="shared" si="21"/>
        <v>64340.301100034303</v>
      </c>
      <c r="K61" s="463"/>
      <c r="L61" s="363">
        <f t="shared" si="22"/>
        <v>20074.173943210702</v>
      </c>
      <c r="M61" s="463"/>
      <c r="N61" s="391">
        <f t="shared" si="23"/>
        <v>10000000</v>
      </c>
      <c r="O61" s="470"/>
      <c r="P61" s="9">
        <f t="shared" si="24"/>
        <v>1</v>
      </c>
      <c r="R61" s="15">
        <f t="shared" si="25"/>
        <v>5919.3500108388271</v>
      </c>
      <c r="S61" s="35">
        <f t="shared" si="26"/>
        <v>920006.57591508736</v>
      </c>
      <c r="T61" s="36">
        <f t="shared" si="27"/>
        <v>64340.301100034303</v>
      </c>
      <c r="V61"/>
      <c r="W61"/>
      <c r="X61" s="9">
        <v>13</v>
      </c>
      <c r="Y61" s="6">
        <v>2</v>
      </c>
    </row>
    <row r="62" spans="1:25" s="42" customFormat="1" ht="20.149999999999999" customHeight="1" x14ac:dyDescent="0.35">
      <c r="A62" s="6"/>
      <c r="B62" s="63">
        <v>14</v>
      </c>
      <c r="C62" s="39">
        <f t="shared" si="28"/>
        <v>64340.301100034303</v>
      </c>
      <c r="D62" s="38">
        <f t="shared" si="29"/>
        <v>10.939422135205403</v>
      </c>
      <c r="E62" s="39">
        <f t="shared" si="30"/>
        <v>0</v>
      </c>
      <c r="F62" s="40">
        <f t="shared" si="31"/>
        <v>5525.2190007948584</v>
      </c>
      <c r="G62" s="40">
        <f t="shared" si="32"/>
        <v>690.6523750993573</v>
      </c>
      <c r="H62" s="360">
        <f t="shared" si="20"/>
        <v>10000000.000000002</v>
      </c>
      <c r="I62" s="365"/>
      <c r="J62" s="362">
        <f t="shared" si="21"/>
        <v>64340.301100034303</v>
      </c>
      <c r="K62" s="361"/>
      <c r="L62" s="360">
        <f t="shared" si="22"/>
        <v>20074.173943210702</v>
      </c>
      <c r="M62" s="361"/>
      <c r="N62" s="358">
        <f t="shared" si="23"/>
        <v>10000000</v>
      </c>
      <c r="O62" s="359"/>
      <c r="P62" s="9">
        <f t="shared" si="24"/>
        <v>1</v>
      </c>
      <c r="R62" s="40">
        <f t="shared" si="25"/>
        <v>5881.5082099239444</v>
      </c>
      <c r="S62" s="43">
        <f t="shared" si="26"/>
        <v>914125.06770516338</v>
      </c>
      <c r="T62" s="44">
        <f t="shared" si="27"/>
        <v>64340.301100034303</v>
      </c>
      <c r="V62"/>
      <c r="W62"/>
      <c r="X62" s="9">
        <v>14</v>
      </c>
      <c r="Y62" s="42">
        <v>2</v>
      </c>
    </row>
    <row r="63" spans="1:25" ht="20.149999999999999" customHeight="1" x14ac:dyDescent="0.35">
      <c r="B63" s="60">
        <v>15</v>
      </c>
      <c r="C63" s="34">
        <f t="shared" si="28"/>
        <v>64340.301100034303</v>
      </c>
      <c r="D63" s="33">
        <f t="shared" si="29"/>
        <v>11.009806706609352</v>
      </c>
      <c r="E63" s="34">
        <f t="shared" si="30"/>
        <v>0</v>
      </c>
      <c r="F63" s="15">
        <f t="shared" si="31"/>
        <v>5901.2178222054035</v>
      </c>
      <c r="G63" s="15">
        <f t="shared" si="32"/>
        <v>737.65222777567544</v>
      </c>
      <c r="H63" s="363">
        <f t="shared" si="20"/>
        <v>10000000.000000002</v>
      </c>
      <c r="I63" s="364"/>
      <c r="J63" s="462">
        <f t="shared" si="21"/>
        <v>64340.301100034303</v>
      </c>
      <c r="K63" s="463"/>
      <c r="L63" s="363">
        <f t="shared" si="22"/>
        <v>20074.173943210702</v>
      </c>
      <c r="M63" s="463"/>
      <c r="N63" s="391">
        <f t="shared" si="23"/>
        <v>10000000</v>
      </c>
      <c r="O63" s="470"/>
      <c r="P63" s="9">
        <f t="shared" si="24"/>
        <v>1</v>
      </c>
      <c r="R63" s="15">
        <f t="shared" si="25"/>
        <v>5843.9083277828895</v>
      </c>
      <c r="S63" s="35">
        <f t="shared" si="26"/>
        <v>908281.15937738051</v>
      </c>
      <c r="T63" s="36">
        <f t="shared" si="27"/>
        <v>64340.301100034303</v>
      </c>
      <c r="V63"/>
      <c r="W63"/>
      <c r="X63" s="9">
        <v>15</v>
      </c>
      <c r="Y63" s="6">
        <v>2</v>
      </c>
    </row>
    <row r="64" spans="1:25" ht="20.149999999999999" customHeight="1" x14ac:dyDescent="0.35">
      <c r="B64" s="63">
        <v>16</v>
      </c>
      <c r="C64" s="39">
        <f t="shared" si="28"/>
        <v>64340.301100034303</v>
      </c>
      <c r="D64" s="38">
        <f t="shared" si="29"/>
        <v>11.080644134464993</v>
      </c>
      <c r="E64" s="39">
        <f t="shared" si="30"/>
        <v>0</v>
      </c>
      <c r="F64" s="40">
        <f t="shared" si="31"/>
        <v>6274.81292149815</v>
      </c>
      <c r="G64" s="40">
        <f t="shared" si="32"/>
        <v>784.35161518726875</v>
      </c>
      <c r="H64" s="360">
        <f t="shared" si="20"/>
        <v>10000000.000000002</v>
      </c>
      <c r="I64" s="365"/>
      <c r="J64" s="362">
        <f t="shared" si="21"/>
        <v>64340.301100034303</v>
      </c>
      <c r="K64" s="361"/>
      <c r="L64" s="360">
        <f t="shared" si="22"/>
        <v>20074.173943210702</v>
      </c>
      <c r="M64" s="361"/>
      <c r="N64" s="358">
        <f t="shared" si="23"/>
        <v>10000000</v>
      </c>
      <c r="O64" s="359"/>
      <c r="P64" s="9">
        <f t="shared" si="24"/>
        <v>1</v>
      </c>
      <c r="R64" s="40">
        <f t="shared" si="25"/>
        <v>5806.5488178536152</v>
      </c>
      <c r="S64" s="35">
        <f t="shared" si="26"/>
        <v>902474.61055952695</v>
      </c>
      <c r="T64" s="36">
        <f t="shared" si="27"/>
        <v>64340.301100034303</v>
      </c>
      <c r="V64"/>
      <c r="W64"/>
      <c r="X64" s="9">
        <v>16</v>
      </c>
      <c r="Y64" s="6">
        <v>2</v>
      </c>
    </row>
    <row r="65" spans="2:25" ht="20.149999999999999" customHeight="1" x14ac:dyDescent="0.35">
      <c r="B65" s="60">
        <v>17</v>
      </c>
      <c r="C65" s="34">
        <f t="shared" si="28"/>
        <v>64340.301100034303</v>
      </c>
      <c r="D65" s="33">
        <f t="shared" si="29"/>
        <v>11.151937332464374</v>
      </c>
      <c r="E65" s="34">
        <f t="shared" si="30"/>
        <v>0</v>
      </c>
      <c r="F65" s="15">
        <f t="shared" si="31"/>
        <v>6646.0196654234505</v>
      </c>
      <c r="G65" s="15">
        <f t="shared" si="32"/>
        <v>830.75245817793132</v>
      </c>
      <c r="H65" s="363">
        <f t="shared" si="20"/>
        <v>10000000.000000002</v>
      </c>
      <c r="I65" s="364"/>
      <c r="J65" s="462">
        <f t="shared" si="21"/>
        <v>64340.301100034303</v>
      </c>
      <c r="K65" s="463"/>
      <c r="L65" s="363">
        <f t="shared" si="22"/>
        <v>20074.173943210702</v>
      </c>
      <c r="M65" s="463"/>
      <c r="N65" s="391">
        <f t="shared" si="23"/>
        <v>10000000</v>
      </c>
      <c r="O65" s="470"/>
      <c r="P65" s="9">
        <f t="shared" si="24"/>
        <v>1</v>
      </c>
      <c r="R65" s="15">
        <f t="shared" si="25"/>
        <v>5769.4281434610848</v>
      </c>
      <c r="S65" s="35">
        <f t="shared" si="26"/>
        <v>896705.18241606583</v>
      </c>
      <c r="T65" s="36">
        <f t="shared" si="27"/>
        <v>64340.301100034303</v>
      </c>
      <c r="V65"/>
      <c r="W65"/>
      <c r="X65" s="9">
        <v>17</v>
      </c>
      <c r="Y65" s="6">
        <v>2</v>
      </c>
    </row>
    <row r="66" spans="2:25" ht="20.149999999999999" customHeight="1" x14ac:dyDescent="0.35">
      <c r="B66" s="63">
        <v>18</v>
      </c>
      <c r="C66" s="39">
        <f t="shared" si="28"/>
        <v>64340.301100034303</v>
      </c>
      <c r="D66" s="38">
        <f t="shared" si="29"/>
        <v>11.223689233046322</v>
      </c>
      <c r="E66" s="39">
        <f t="shared" si="30"/>
        <v>0</v>
      </c>
      <c r="F66" s="40">
        <f t="shared" si="31"/>
        <v>7014.8533224935791</v>
      </c>
      <c r="G66" s="40">
        <f t="shared" si="32"/>
        <v>876.85666531169738</v>
      </c>
      <c r="H66" s="360">
        <f t="shared" si="20"/>
        <v>10000000.000000002</v>
      </c>
      <c r="I66" s="365"/>
      <c r="J66" s="362">
        <f t="shared" si="21"/>
        <v>64340.301100034303</v>
      </c>
      <c r="K66" s="361"/>
      <c r="L66" s="360">
        <f t="shared" si="22"/>
        <v>20074.173943210702</v>
      </c>
      <c r="M66" s="361"/>
      <c r="N66" s="358">
        <f t="shared" si="23"/>
        <v>10000000</v>
      </c>
      <c r="O66" s="359"/>
      <c r="P66" s="9">
        <f t="shared" si="24"/>
        <v>1</v>
      </c>
      <c r="R66" s="40">
        <f t="shared" si="25"/>
        <v>5732.5447777540721</v>
      </c>
      <c r="S66" s="35">
        <f t="shared" si="26"/>
        <v>890972.63763831172</v>
      </c>
      <c r="T66" s="36">
        <f t="shared" si="27"/>
        <v>64340.301100034303</v>
      </c>
      <c r="V66"/>
      <c r="W66"/>
      <c r="X66" s="9">
        <v>18</v>
      </c>
      <c r="Y66" s="6">
        <v>2</v>
      </c>
    </row>
    <row r="67" spans="2:25" ht="20.149999999999999" customHeight="1" x14ac:dyDescent="0.35">
      <c r="B67" s="60">
        <v>19</v>
      </c>
      <c r="C67" s="34">
        <f t="shared" si="28"/>
        <v>64340.301100034303</v>
      </c>
      <c r="D67" s="33">
        <f t="shared" si="29"/>
        <v>11.295902787517063</v>
      </c>
      <c r="E67" s="34">
        <f t="shared" si="30"/>
        <v>0</v>
      </c>
      <c r="F67" s="15">
        <f t="shared" si="31"/>
        <v>7381.3290636107695</v>
      </c>
      <c r="G67" s="15">
        <f t="shared" si="32"/>
        <v>922.66613295134619</v>
      </c>
      <c r="H67" s="363">
        <f t="shared" si="20"/>
        <v>10000000</v>
      </c>
      <c r="I67" s="364"/>
      <c r="J67" s="462">
        <f t="shared" si="21"/>
        <v>64340.301100034303</v>
      </c>
      <c r="K67" s="463"/>
      <c r="L67" s="363">
        <f t="shared" si="22"/>
        <v>20074.173943210702</v>
      </c>
      <c r="M67" s="463"/>
      <c r="N67" s="391">
        <f t="shared" si="23"/>
        <v>10000000</v>
      </c>
      <c r="O67" s="470"/>
      <c r="P67" s="9">
        <f t="shared" si="24"/>
        <v>1</v>
      </c>
      <c r="R67" s="15">
        <f t="shared" si="25"/>
        <v>5695.8972036423529</v>
      </c>
      <c r="S67" s="35">
        <f t="shared" si="26"/>
        <v>885276.74043466931</v>
      </c>
      <c r="T67" s="36">
        <f t="shared" si="27"/>
        <v>64340.301100034303</v>
      </c>
      <c r="V67"/>
      <c r="W67"/>
      <c r="X67" s="9">
        <v>19</v>
      </c>
      <c r="Y67" s="6">
        <v>2</v>
      </c>
    </row>
    <row r="68" spans="2:25" ht="20.149999999999999" customHeight="1" x14ac:dyDescent="0.35">
      <c r="B68" s="63">
        <v>20</v>
      </c>
      <c r="C68" s="39">
        <f t="shared" si="28"/>
        <v>64340.301100034303</v>
      </c>
      <c r="D68" s="38">
        <f t="shared" si="29"/>
        <v>11.368580966171619</v>
      </c>
      <c r="E68" s="39">
        <f t="shared" si="30"/>
        <v>0</v>
      </c>
      <c r="F68" s="40">
        <f t="shared" si="31"/>
        <v>7745.4619626912327</v>
      </c>
      <c r="G68" s="40">
        <f t="shared" si="32"/>
        <v>968.18274533640408</v>
      </c>
      <c r="H68" s="360">
        <f t="shared" si="20"/>
        <v>10000000</v>
      </c>
      <c r="I68" s="365"/>
      <c r="J68" s="362">
        <f t="shared" si="21"/>
        <v>64340.301100034303</v>
      </c>
      <c r="K68" s="361"/>
      <c r="L68" s="360">
        <f t="shared" si="22"/>
        <v>20074.173943210702</v>
      </c>
      <c r="M68" s="361"/>
      <c r="N68" s="358">
        <f t="shared" si="23"/>
        <v>10000000</v>
      </c>
      <c r="O68" s="359"/>
      <c r="P68" s="9">
        <f t="shared" si="24"/>
        <v>1</v>
      </c>
      <c r="R68" s="40">
        <f t="shared" si="25"/>
        <v>5659.483913734307</v>
      </c>
      <c r="S68" s="35">
        <f t="shared" si="26"/>
        <v>879617.25652093499</v>
      </c>
      <c r="T68" s="36">
        <f t="shared" si="27"/>
        <v>64340.301100034303</v>
      </c>
      <c r="V68"/>
      <c r="W68"/>
      <c r="X68" s="9">
        <v>20</v>
      </c>
      <c r="Y68" s="6">
        <v>2</v>
      </c>
    </row>
    <row r="69" spans="2:25" ht="20.149999999999999" customHeight="1" x14ac:dyDescent="0.35">
      <c r="B69" s="60">
        <v>21</v>
      </c>
      <c r="C69" s="34">
        <f t="shared" si="28"/>
        <v>64340.301100034303</v>
      </c>
      <c r="D69" s="33">
        <f t="shared" si="29"/>
        <v>11.441726758415978</v>
      </c>
      <c r="E69" s="34">
        <f t="shared" si="30"/>
        <v>0</v>
      </c>
      <c r="F69" s="15">
        <f t="shared" si="31"/>
        <v>8107.2669972851654</v>
      </c>
      <c r="G69" s="15">
        <f t="shared" si="32"/>
        <v>1013.4083746606457</v>
      </c>
      <c r="H69" s="363">
        <f t="shared" si="20"/>
        <v>9999999.9999999981</v>
      </c>
      <c r="I69" s="364"/>
      <c r="J69" s="462">
        <f t="shared" si="21"/>
        <v>64340.301100034303</v>
      </c>
      <c r="K69" s="463"/>
      <c r="L69" s="363">
        <f t="shared" si="22"/>
        <v>20074.173943210702</v>
      </c>
      <c r="M69" s="463"/>
      <c r="N69" s="391">
        <f t="shared" si="23"/>
        <v>10000000</v>
      </c>
      <c r="O69" s="470"/>
      <c r="P69" s="9">
        <f t="shared" si="24"/>
        <v>1</v>
      </c>
      <c r="R69" s="15">
        <f t="shared" si="25"/>
        <v>5623.3034102749134</v>
      </c>
      <c r="S69" s="35">
        <f t="shared" si="26"/>
        <v>873993.95311066008</v>
      </c>
      <c r="T69" s="36">
        <f t="shared" si="27"/>
        <v>64340.301100034303</v>
      </c>
      <c r="V69"/>
      <c r="W69"/>
      <c r="X69" s="9">
        <v>21</v>
      </c>
      <c r="Y69" s="6">
        <v>2</v>
      </c>
    </row>
    <row r="70" spans="2:25" ht="20.149999999999999" customHeight="1" x14ac:dyDescent="0.35">
      <c r="B70" s="63">
        <v>22</v>
      </c>
      <c r="C70" s="39">
        <f t="shared" si="28"/>
        <v>64340.301100034303</v>
      </c>
      <c r="D70" s="38">
        <f t="shared" si="29"/>
        <v>11.515343172890059</v>
      </c>
      <c r="E70" s="39">
        <f t="shared" si="30"/>
        <v>0</v>
      </c>
      <c r="F70" s="40">
        <f t="shared" si="31"/>
        <v>8466.7590491928277</v>
      </c>
      <c r="G70" s="40">
        <f t="shared" si="32"/>
        <v>1058.3448811491035</v>
      </c>
      <c r="H70" s="360">
        <f t="shared" si="20"/>
        <v>10000000</v>
      </c>
      <c r="I70" s="365"/>
      <c r="J70" s="362">
        <f t="shared" si="21"/>
        <v>64340.301100034303</v>
      </c>
      <c r="K70" s="361"/>
      <c r="L70" s="360">
        <f t="shared" si="22"/>
        <v>20074.173943210702</v>
      </c>
      <c r="M70" s="361"/>
      <c r="N70" s="358">
        <f t="shared" si="23"/>
        <v>10000000</v>
      </c>
      <c r="O70" s="359"/>
      <c r="P70" s="9">
        <f t="shared" si="24"/>
        <v>1</v>
      </c>
      <c r="R70" s="40">
        <f t="shared" si="25"/>
        <v>5587.3542050841479</v>
      </c>
      <c r="S70" s="35">
        <f t="shared" si="26"/>
        <v>868406.59890557593</v>
      </c>
      <c r="T70" s="36">
        <f t="shared" si="27"/>
        <v>64340.301100034303</v>
      </c>
      <c r="V70"/>
      <c r="W70"/>
      <c r="X70" s="9">
        <v>22</v>
      </c>
      <c r="Y70" s="6">
        <v>2</v>
      </c>
    </row>
    <row r="71" spans="2:25" ht="20.149999999999999" customHeight="1" x14ac:dyDescent="0.35">
      <c r="B71" s="60">
        <v>23</v>
      </c>
      <c r="C71" s="34">
        <f t="shared" si="28"/>
        <v>64340.301100034303</v>
      </c>
      <c r="D71" s="33">
        <f t="shared" si="29"/>
        <v>11.589433237591455</v>
      </c>
      <c r="E71" s="34">
        <f t="shared" si="30"/>
        <v>0</v>
      </c>
      <c r="F71" s="15">
        <f t="shared" si="31"/>
        <v>8823.9529050766159</v>
      </c>
      <c r="G71" s="15">
        <f t="shared" si="32"/>
        <v>1102.994113134577</v>
      </c>
      <c r="H71" s="363">
        <f t="shared" si="20"/>
        <v>10000000</v>
      </c>
      <c r="I71" s="364"/>
      <c r="J71" s="462">
        <f t="shared" si="21"/>
        <v>64340.301100034303</v>
      </c>
      <c r="K71" s="463"/>
      <c r="L71" s="363">
        <f t="shared" si="22"/>
        <v>20074.173943210702</v>
      </c>
      <c r="M71" s="463"/>
      <c r="N71" s="391">
        <f t="shared" si="23"/>
        <v>10000000</v>
      </c>
      <c r="O71" s="470"/>
      <c r="P71" s="9">
        <f t="shared" si="24"/>
        <v>1</v>
      </c>
      <c r="R71" s="15">
        <f t="shared" si="25"/>
        <v>5551.6348194957691</v>
      </c>
      <c r="S71" s="35">
        <f t="shared" si="26"/>
        <v>862854.9640860802</v>
      </c>
      <c r="T71" s="36">
        <f t="shared" si="27"/>
        <v>64340.301100034303</v>
      </c>
      <c r="V71"/>
      <c r="W71"/>
      <c r="X71" s="9">
        <v>23</v>
      </c>
      <c r="Y71" s="6">
        <v>2</v>
      </c>
    </row>
    <row r="72" spans="2:25" ht="20.149999999999999" customHeight="1" x14ac:dyDescent="0.35">
      <c r="B72" s="63">
        <v>24</v>
      </c>
      <c r="C72" s="39">
        <f t="shared" si="28"/>
        <v>64340.301100034303</v>
      </c>
      <c r="D72" s="38">
        <f t="shared" si="29"/>
        <v>11.663999999999993</v>
      </c>
      <c r="E72" s="39">
        <f t="shared" si="30"/>
        <v>0</v>
      </c>
      <c r="F72" s="40">
        <f t="shared" si="31"/>
        <v>9178.8632570693298</v>
      </c>
      <c r="G72" s="40">
        <f t="shared" si="32"/>
        <v>1147.3579071336662</v>
      </c>
      <c r="H72" s="360">
        <f t="shared" si="20"/>
        <v>10000000</v>
      </c>
      <c r="I72" s="365"/>
      <c r="J72" s="362">
        <f t="shared" si="21"/>
        <v>64340.301100034303</v>
      </c>
      <c r="K72" s="361"/>
      <c r="L72" s="360">
        <f t="shared" si="22"/>
        <v>20074.173943210702</v>
      </c>
      <c r="M72" s="361"/>
      <c r="N72" s="358">
        <f t="shared" si="23"/>
        <v>10000000</v>
      </c>
      <c r="O72" s="359"/>
      <c r="P72" s="9">
        <f t="shared" si="24"/>
        <v>1</v>
      </c>
      <c r="R72" s="40">
        <f t="shared" si="25"/>
        <v>5516.143784296497</v>
      </c>
      <c r="S72" s="35">
        <f t="shared" si="26"/>
        <v>857338.82030178374</v>
      </c>
      <c r="T72" s="36">
        <f t="shared" si="27"/>
        <v>64340.301100034303</v>
      </c>
      <c r="V72"/>
      <c r="W72"/>
      <c r="X72" s="9">
        <v>24</v>
      </c>
      <c r="Y72" s="6">
        <v>2</v>
      </c>
    </row>
    <row r="73" spans="2:25" ht="20.149999999999999" customHeight="1" x14ac:dyDescent="0.35">
      <c r="B73" s="60">
        <v>25</v>
      </c>
      <c r="C73" s="34">
        <f t="shared" si="28"/>
        <v>64340.301100034303</v>
      </c>
      <c r="D73" s="33">
        <f t="shared" si="29"/>
        <v>11.739046527203072</v>
      </c>
      <c r="E73" s="34">
        <f t="shared" si="30"/>
        <v>0</v>
      </c>
      <c r="F73" s="15">
        <f t="shared" si="31"/>
        <v>9531.5047033784613</v>
      </c>
      <c r="G73" s="15">
        <f t="shared" si="32"/>
        <v>1191.4380879223077</v>
      </c>
      <c r="H73" s="363">
        <f t="shared" si="20"/>
        <v>9999999.9999999981</v>
      </c>
      <c r="I73" s="364"/>
      <c r="J73" s="462">
        <f t="shared" si="21"/>
        <v>64340.301100034303</v>
      </c>
      <c r="K73" s="463"/>
      <c r="L73" s="363">
        <f t="shared" si="22"/>
        <v>20074.173943210702</v>
      </c>
      <c r="M73" s="463"/>
      <c r="N73" s="391">
        <f t="shared" si="23"/>
        <v>10000000</v>
      </c>
      <c r="O73" s="470"/>
      <c r="P73" s="9">
        <f t="shared" si="24"/>
        <v>2</v>
      </c>
      <c r="R73" s="15">
        <f t="shared" si="25"/>
        <v>5480.8796396655844</v>
      </c>
      <c r="S73" s="35">
        <f t="shared" si="26"/>
        <v>851857.94066211814</v>
      </c>
      <c r="T73" s="36">
        <f t="shared" si="27"/>
        <v>64340.301100034303</v>
      </c>
      <c r="V73"/>
      <c r="W73"/>
      <c r="X73" s="9">
        <v>25</v>
      </c>
      <c r="Y73" s="6">
        <v>3</v>
      </c>
    </row>
    <row r="74" spans="2:25" ht="20.149999999999999" customHeight="1" x14ac:dyDescent="0.35">
      <c r="B74" s="63">
        <v>26</v>
      </c>
      <c r="C74" s="39">
        <f t="shared" si="28"/>
        <v>64340.301100034303</v>
      </c>
      <c r="D74" s="38">
        <f t="shared" si="29"/>
        <v>11.814575906021828</v>
      </c>
      <c r="E74" s="39">
        <f t="shared" si="30"/>
        <v>0</v>
      </c>
      <c r="F74" s="40">
        <f t="shared" si="31"/>
        <v>9881.8917488866355</v>
      </c>
      <c r="G74" s="40">
        <f t="shared" si="32"/>
        <v>1235.2364686108294</v>
      </c>
      <c r="H74" s="360">
        <f t="shared" si="20"/>
        <v>9999999.9999999981</v>
      </c>
      <c r="I74" s="365"/>
      <c r="J74" s="362">
        <f t="shared" si="21"/>
        <v>64340.301100034303</v>
      </c>
      <c r="K74" s="361"/>
      <c r="L74" s="360">
        <f t="shared" si="22"/>
        <v>20074.173943210702</v>
      </c>
      <c r="M74" s="361"/>
      <c r="N74" s="358">
        <f t="shared" si="23"/>
        <v>10000000</v>
      </c>
      <c r="O74" s="359"/>
      <c r="P74" s="9">
        <f t="shared" si="24"/>
        <v>2</v>
      </c>
      <c r="R74" s="40">
        <f t="shared" si="25"/>
        <v>5445.8409351147666</v>
      </c>
      <c r="S74" s="35">
        <f t="shared" si="26"/>
        <v>846412.09972700337</v>
      </c>
      <c r="T74" s="36">
        <f t="shared" si="27"/>
        <v>64340.301100034303</v>
      </c>
      <c r="V74"/>
      <c r="W74"/>
      <c r="X74" s="9">
        <v>26</v>
      </c>
      <c r="Y74" s="6">
        <v>3</v>
      </c>
    </row>
    <row r="75" spans="2:25" ht="20.149999999999999" customHeight="1" x14ac:dyDescent="0.35">
      <c r="B75" s="60">
        <v>27</v>
      </c>
      <c r="C75" s="34">
        <f t="shared" si="28"/>
        <v>64340.301100034303</v>
      </c>
      <c r="D75" s="33">
        <f t="shared" si="29"/>
        <v>11.890591243138093</v>
      </c>
      <c r="E75" s="34">
        <f t="shared" si="30"/>
        <v>0</v>
      </c>
      <c r="F75" s="15">
        <f t="shared" si="31"/>
        <v>10230.038805748256</v>
      </c>
      <c r="G75" s="15">
        <f t="shared" si="32"/>
        <v>1278.754850718532</v>
      </c>
      <c r="H75" s="363">
        <f t="shared" si="20"/>
        <v>9999999.9999999981</v>
      </c>
      <c r="I75" s="364"/>
      <c r="J75" s="462">
        <f t="shared" si="21"/>
        <v>64340.301100034303</v>
      </c>
      <c r="K75" s="463"/>
      <c r="L75" s="363">
        <f t="shared" si="22"/>
        <v>20074.173943210702</v>
      </c>
      <c r="M75" s="463"/>
      <c r="N75" s="391">
        <f t="shared" si="23"/>
        <v>10000000</v>
      </c>
      <c r="O75" s="470"/>
      <c r="P75" s="9">
        <f t="shared" si="24"/>
        <v>2</v>
      </c>
      <c r="R75" s="15">
        <f t="shared" si="25"/>
        <v>5411.0262294286049</v>
      </c>
      <c r="S75" s="35">
        <f t="shared" si="26"/>
        <v>841001.07349757478</v>
      </c>
      <c r="T75" s="36">
        <f t="shared" si="27"/>
        <v>64340.301100034303</v>
      </c>
      <c r="V75"/>
      <c r="W75"/>
      <c r="X75" s="9">
        <v>27</v>
      </c>
      <c r="Y75" s="6">
        <v>3</v>
      </c>
    </row>
    <row r="76" spans="2:25" ht="20.149999999999999" customHeight="1" x14ac:dyDescent="0.35">
      <c r="B76" s="63">
        <v>28</v>
      </c>
      <c r="C76" s="39">
        <f t="shared" si="28"/>
        <v>64340.301100034303</v>
      </c>
      <c r="D76" s="38">
        <f t="shared" si="29"/>
        <v>11.967095665222187</v>
      </c>
      <c r="E76" s="39">
        <f t="shared" si="30"/>
        <v>0</v>
      </c>
      <c r="F76" s="40">
        <f t="shared" si="31"/>
        <v>10575.960193982284</v>
      </c>
      <c r="G76" s="40">
        <f t="shared" si="32"/>
        <v>1321.9950242477855</v>
      </c>
      <c r="H76" s="360">
        <f t="shared" si="20"/>
        <v>9999999.9999999981</v>
      </c>
      <c r="I76" s="365"/>
      <c r="J76" s="362">
        <f t="shared" si="21"/>
        <v>64340.301100034303</v>
      </c>
      <c r="K76" s="361"/>
      <c r="L76" s="360">
        <f t="shared" si="22"/>
        <v>20074.173943210702</v>
      </c>
      <c r="M76" s="361"/>
      <c r="N76" s="358">
        <f t="shared" si="23"/>
        <v>10000000</v>
      </c>
      <c r="O76" s="359"/>
      <c r="P76" s="9">
        <f t="shared" si="24"/>
        <v>2</v>
      </c>
      <c r="R76" s="40">
        <f t="shared" si="25"/>
        <v>5376.4340906052021</v>
      </c>
      <c r="S76" s="35">
        <f t="shared" si="26"/>
        <v>835624.63940696954</v>
      </c>
      <c r="T76" s="36">
        <f t="shared" si="27"/>
        <v>64340.301100034303</v>
      </c>
      <c r="V76"/>
      <c r="W76"/>
      <c r="X76" s="9">
        <v>28</v>
      </c>
      <c r="Y76" s="6">
        <v>3</v>
      </c>
    </row>
    <row r="77" spans="2:25" ht="20.149999999999999" customHeight="1" x14ac:dyDescent="0.35">
      <c r="B77" s="60">
        <v>29</v>
      </c>
      <c r="C77" s="34">
        <f t="shared" si="28"/>
        <v>64340.301100034303</v>
      </c>
      <c r="D77" s="33">
        <f t="shared" si="29"/>
        <v>12.044092319061518</v>
      </c>
      <c r="E77" s="34">
        <f t="shared" si="30"/>
        <v>0</v>
      </c>
      <c r="F77" s="15">
        <f t="shared" si="31"/>
        <v>10919.670142061263</v>
      </c>
      <c r="G77" s="15">
        <f t="shared" si="32"/>
        <v>1364.9587677576578</v>
      </c>
      <c r="H77" s="363">
        <f t="shared" si="20"/>
        <v>9999999.9999999981</v>
      </c>
      <c r="I77" s="364"/>
      <c r="J77" s="462">
        <f t="shared" si="21"/>
        <v>64340.301100034303</v>
      </c>
      <c r="K77" s="463"/>
      <c r="L77" s="363">
        <f t="shared" si="22"/>
        <v>20074.173943210702</v>
      </c>
      <c r="M77" s="463"/>
      <c r="N77" s="391">
        <f t="shared" si="23"/>
        <v>10000000</v>
      </c>
      <c r="O77" s="470"/>
      <c r="P77" s="9">
        <f t="shared" si="24"/>
        <v>2</v>
      </c>
      <c r="R77" s="15">
        <f t="shared" si="25"/>
        <v>5342.0630957973044</v>
      </c>
      <c r="S77" s="35">
        <f t="shared" si="26"/>
        <v>830282.57631117222</v>
      </c>
      <c r="T77" s="36">
        <f t="shared" si="27"/>
        <v>64340.301100034303</v>
      </c>
      <c r="V77"/>
      <c r="W77"/>
      <c r="X77" s="9">
        <v>29</v>
      </c>
      <c r="Y77" s="6">
        <v>3</v>
      </c>
    </row>
    <row r="78" spans="2:25" ht="20.149999999999999" customHeight="1" x14ac:dyDescent="0.35">
      <c r="B78" s="63">
        <v>30</v>
      </c>
      <c r="C78" s="39">
        <f t="shared" si="28"/>
        <v>64340.301100034303</v>
      </c>
      <c r="D78" s="38">
        <f t="shared" si="29"/>
        <v>12.121584371690021</v>
      </c>
      <c r="E78" s="39">
        <f t="shared" si="30"/>
        <v>0</v>
      </c>
      <c r="F78" s="40">
        <f t="shared" si="31"/>
        <v>11261.182787496569</v>
      </c>
      <c r="G78" s="40">
        <f t="shared" si="32"/>
        <v>1407.6478484370712</v>
      </c>
      <c r="H78" s="360">
        <f t="shared" si="20"/>
        <v>9999999.9999999981</v>
      </c>
      <c r="I78" s="365"/>
      <c r="J78" s="362">
        <f t="shared" si="21"/>
        <v>64340.301100034303</v>
      </c>
      <c r="K78" s="361"/>
      <c r="L78" s="360">
        <f t="shared" si="22"/>
        <v>20074.173943210702</v>
      </c>
      <c r="M78" s="361"/>
      <c r="N78" s="358">
        <f t="shared" si="23"/>
        <v>10000000</v>
      </c>
      <c r="O78" s="359"/>
      <c r="P78" s="9">
        <f t="shared" si="24"/>
        <v>2</v>
      </c>
      <c r="R78" s="40">
        <f t="shared" si="25"/>
        <v>5307.9118312537739</v>
      </c>
      <c r="S78" s="35">
        <f t="shared" si="26"/>
        <v>824974.66447991843</v>
      </c>
      <c r="T78" s="36">
        <f t="shared" si="27"/>
        <v>64340.301100034303</v>
      </c>
      <c r="V78"/>
      <c r="W78"/>
      <c r="X78" s="9">
        <v>30</v>
      </c>
      <c r="Y78" s="6">
        <v>3</v>
      </c>
    </row>
    <row r="79" spans="2:25" ht="20.149999999999999" customHeight="1" x14ac:dyDescent="0.35">
      <c r="B79" s="60">
        <v>31</v>
      </c>
      <c r="C79" s="34">
        <f t="shared" si="28"/>
        <v>64340.301100034303</v>
      </c>
      <c r="D79" s="33">
        <f t="shared" si="29"/>
        <v>12.199575010518421</v>
      </c>
      <c r="E79" s="34">
        <f t="shared" si="30"/>
        <v>0</v>
      </c>
      <c r="F79" s="15">
        <f t="shared" si="31"/>
        <v>11600.512177419891</v>
      </c>
      <c r="G79" s="15">
        <f t="shared" si="32"/>
        <v>1450.0640221774863</v>
      </c>
      <c r="H79" s="363">
        <f t="shared" si="20"/>
        <v>9999999.9999999981</v>
      </c>
      <c r="I79" s="364"/>
      <c r="J79" s="462">
        <f t="shared" si="21"/>
        <v>64340.301100034303</v>
      </c>
      <c r="K79" s="463"/>
      <c r="L79" s="363">
        <f t="shared" si="22"/>
        <v>20074.173943210702</v>
      </c>
      <c r="M79" s="463"/>
      <c r="N79" s="391">
        <f t="shared" si="23"/>
        <v>10000000</v>
      </c>
      <c r="O79" s="470"/>
      <c r="P79" s="9">
        <f t="shared" si="24"/>
        <v>2</v>
      </c>
      <c r="R79" s="15">
        <f t="shared" si="25"/>
        <v>5273.9788922614416</v>
      </c>
      <c r="S79" s="35">
        <f t="shared" si="26"/>
        <v>819700.68558765703</v>
      </c>
      <c r="T79" s="36">
        <f t="shared" si="27"/>
        <v>64340.301100034303</v>
      </c>
      <c r="V79"/>
      <c r="W79"/>
      <c r="X79" s="9">
        <v>31</v>
      </c>
      <c r="Y79" s="6">
        <v>3</v>
      </c>
    </row>
    <row r="80" spans="2:25" ht="20.149999999999999" customHeight="1" x14ac:dyDescent="0.35">
      <c r="B80" s="63">
        <v>32</v>
      </c>
      <c r="C80" s="39">
        <f t="shared" si="28"/>
        <v>64340.301100034303</v>
      </c>
      <c r="D80" s="38">
        <f t="shared" si="29"/>
        <v>12.278067443465343</v>
      </c>
      <c r="E80" s="39">
        <f t="shared" si="30"/>
        <v>0</v>
      </c>
      <c r="F80" s="40">
        <f t="shared" si="31"/>
        <v>11937.672269161065</v>
      </c>
      <c r="G80" s="40">
        <f t="shared" si="32"/>
        <v>1492.2090336451331</v>
      </c>
      <c r="H80" s="360">
        <f t="shared" si="20"/>
        <v>10000000</v>
      </c>
      <c r="I80" s="365"/>
      <c r="J80" s="362">
        <f t="shared" si="21"/>
        <v>64340.301100034303</v>
      </c>
      <c r="K80" s="361"/>
      <c r="L80" s="360">
        <f t="shared" si="22"/>
        <v>20074.173943210702</v>
      </c>
      <c r="M80" s="361"/>
      <c r="N80" s="358">
        <f t="shared" si="23"/>
        <v>10000000</v>
      </c>
      <c r="O80" s="359"/>
      <c r="P80" s="9">
        <f t="shared" si="24"/>
        <v>2</v>
      </c>
      <c r="R80" s="40">
        <f t="shared" si="25"/>
        <v>5240.2628830873236</v>
      </c>
      <c r="S80" s="35">
        <f t="shared" si="26"/>
        <v>814460.42270456976</v>
      </c>
      <c r="T80" s="36">
        <f t="shared" si="27"/>
        <v>64340.301100034303</v>
      </c>
      <c r="V80"/>
      <c r="W80"/>
      <c r="X80" s="9">
        <v>32</v>
      </c>
      <c r="Y80" s="6">
        <v>3</v>
      </c>
    </row>
    <row r="81" spans="2:25" ht="20.149999999999999" customHeight="1" x14ac:dyDescent="0.35">
      <c r="B81" s="60">
        <v>33</v>
      </c>
      <c r="C81" s="34">
        <f t="shared" si="28"/>
        <v>64340.301100034303</v>
      </c>
      <c r="D81" s="33">
        <f t="shared" si="29"/>
        <v>12.357064899089252</v>
      </c>
      <c r="E81" s="34">
        <f t="shared" si="30"/>
        <v>0</v>
      </c>
      <c r="F81" s="15">
        <f t="shared" si="31"/>
        <v>12272.676930822121</v>
      </c>
      <c r="G81" s="15">
        <f t="shared" si="32"/>
        <v>1534.0846163527651</v>
      </c>
      <c r="H81" s="363">
        <f t="shared" si="20"/>
        <v>10000000</v>
      </c>
      <c r="I81" s="364"/>
      <c r="J81" s="462">
        <f t="shared" ref="J81:J144" si="33">$H$5*((1+$H$7)^(1/12)-1)</f>
        <v>64340.301100034303</v>
      </c>
      <c r="K81" s="463"/>
      <c r="L81" s="363">
        <f t="shared" ref="L81:L108" si="34">J81*$H$8</f>
        <v>20074.173943210702</v>
      </c>
      <c r="M81" s="463"/>
      <c r="N81" s="391">
        <f t="shared" ref="N81:N144" si="35">$H$5</f>
        <v>10000000</v>
      </c>
      <c r="O81" s="470"/>
      <c r="P81" s="9">
        <f t="shared" si="24"/>
        <v>2</v>
      </c>
      <c r="R81" s="15">
        <f t="shared" si="25"/>
        <v>5206.7624169212177</v>
      </c>
      <c r="S81" s="35">
        <f t="shared" ref="S81:S108" si="36">S80-R81</f>
        <v>809253.66028764856</v>
      </c>
      <c r="T81" s="36">
        <f t="shared" si="27"/>
        <v>64340.301100034303</v>
      </c>
      <c r="V81"/>
      <c r="W81"/>
      <c r="X81" s="9">
        <v>33</v>
      </c>
      <c r="Y81" s="6">
        <v>3</v>
      </c>
    </row>
    <row r="82" spans="2:25" ht="20.149999999999999" customHeight="1" x14ac:dyDescent="0.35">
      <c r="B82" s="63">
        <v>34</v>
      </c>
      <c r="C82" s="39">
        <f t="shared" si="28"/>
        <v>64340.301100034303</v>
      </c>
      <c r="D82" s="38">
        <f t="shared" ref="D82:D145" si="37">D81*(1+(1+$H$6)^(1/12)-1)</f>
        <v>12.436570626721259</v>
      </c>
      <c r="E82" s="39">
        <f t="shared" si="30"/>
        <v>0</v>
      </c>
      <c r="F82" s="40">
        <f t="shared" si="31"/>
        <v>12605.539941847734</v>
      </c>
      <c r="G82" s="40">
        <f t="shared" si="32"/>
        <v>1575.6924927309667</v>
      </c>
      <c r="H82" s="360">
        <f t="shared" si="20"/>
        <v>10000000.000000002</v>
      </c>
      <c r="I82" s="365"/>
      <c r="J82" s="362">
        <f t="shared" si="33"/>
        <v>64340.301100034303</v>
      </c>
      <c r="K82" s="361"/>
      <c r="L82" s="360">
        <f t="shared" si="34"/>
        <v>20074.173943210702</v>
      </c>
      <c r="M82" s="361"/>
      <c r="N82" s="358">
        <f t="shared" si="35"/>
        <v>10000000</v>
      </c>
      <c r="O82" s="359"/>
      <c r="P82" s="9">
        <f t="shared" si="24"/>
        <v>2</v>
      </c>
      <c r="R82" s="40">
        <f t="shared" si="25"/>
        <v>5173.4761158186575</v>
      </c>
      <c r="S82" s="35">
        <f t="shared" si="36"/>
        <v>804080.18417182995</v>
      </c>
      <c r="T82" s="36">
        <f t="shared" si="27"/>
        <v>64340.301100034303</v>
      </c>
      <c r="V82"/>
      <c r="W82"/>
      <c r="X82" s="9">
        <v>34</v>
      </c>
      <c r="Y82" s="6">
        <v>3</v>
      </c>
    </row>
    <row r="83" spans="2:25" ht="20.149999999999999" customHeight="1" x14ac:dyDescent="0.35">
      <c r="B83" s="60">
        <v>35</v>
      </c>
      <c r="C83" s="34">
        <f t="shared" si="28"/>
        <v>64340.301100034303</v>
      </c>
      <c r="D83" s="33">
        <f t="shared" si="37"/>
        <v>12.516587896598768</v>
      </c>
      <c r="E83" s="34">
        <f t="shared" si="30"/>
        <v>0</v>
      </c>
      <c r="F83" s="15">
        <f t="shared" si="31"/>
        <v>12936.274993591982</v>
      </c>
      <c r="G83" s="15">
        <f t="shared" si="32"/>
        <v>1617.0343741989977</v>
      </c>
      <c r="H83" s="363">
        <f t="shared" si="20"/>
        <v>10000000</v>
      </c>
      <c r="I83" s="364"/>
      <c r="J83" s="462">
        <f t="shared" si="33"/>
        <v>64340.301100034303</v>
      </c>
      <c r="K83" s="463"/>
      <c r="L83" s="363">
        <f t="shared" si="34"/>
        <v>20074.173943210702</v>
      </c>
      <c r="M83" s="463"/>
      <c r="N83" s="391">
        <f t="shared" si="35"/>
        <v>10000000</v>
      </c>
      <c r="O83" s="470"/>
      <c r="P83" s="9">
        <f t="shared" si="24"/>
        <v>2</v>
      </c>
      <c r="R83" s="15">
        <f t="shared" si="25"/>
        <v>5140.4026106442316</v>
      </c>
      <c r="S83" s="35">
        <f t="shared" si="36"/>
        <v>798939.78156118572</v>
      </c>
      <c r="T83" s="36">
        <f t="shared" si="27"/>
        <v>64340.301100034303</v>
      </c>
      <c r="V83"/>
      <c r="W83"/>
      <c r="X83" s="9">
        <v>35</v>
      </c>
      <c r="Y83" s="6">
        <v>3</v>
      </c>
    </row>
    <row r="84" spans="2:25" ht="20.149999999999999" customHeight="1" x14ac:dyDescent="0.35">
      <c r="B84" s="63">
        <v>36</v>
      </c>
      <c r="C84" s="39">
        <f t="shared" si="28"/>
        <v>64340.301100034303</v>
      </c>
      <c r="D84" s="38">
        <f t="shared" si="37"/>
        <v>12.59711999999999</v>
      </c>
      <c r="E84" s="39">
        <f t="shared" si="30"/>
        <v>0</v>
      </c>
      <c r="F84" s="40">
        <f t="shared" si="31"/>
        <v>13264.895689881541</v>
      </c>
      <c r="G84" s="40">
        <f t="shared" si="32"/>
        <v>1658.1119612351927</v>
      </c>
      <c r="H84" s="360">
        <f t="shared" si="20"/>
        <v>10000000</v>
      </c>
      <c r="I84" s="365"/>
      <c r="J84" s="362">
        <f t="shared" si="33"/>
        <v>64340.301100034303</v>
      </c>
      <c r="K84" s="361"/>
      <c r="L84" s="360">
        <f t="shared" si="34"/>
        <v>20074.173943210702</v>
      </c>
      <c r="M84" s="361"/>
      <c r="N84" s="358">
        <f t="shared" si="35"/>
        <v>10000000</v>
      </c>
      <c r="O84" s="359"/>
      <c r="P84" s="9">
        <f t="shared" si="24"/>
        <v>2</v>
      </c>
      <c r="R84" s="40">
        <f t="shared" si="25"/>
        <v>5107.5405410152762</v>
      </c>
      <c r="S84" s="35">
        <f t="shared" si="36"/>
        <v>793832.24102017039</v>
      </c>
      <c r="T84" s="36">
        <f t="shared" si="27"/>
        <v>64340.301100034303</v>
      </c>
      <c r="V84"/>
      <c r="W84"/>
      <c r="X84" s="9">
        <v>36</v>
      </c>
      <c r="Y84" s="6">
        <v>3</v>
      </c>
    </row>
    <row r="85" spans="2:25" ht="20.149999999999999" customHeight="1" x14ac:dyDescent="0.35">
      <c r="B85" s="60">
        <v>37</v>
      </c>
      <c r="C85" s="34">
        <f t="shared" si="28"/>
        <v>64340.301100034303</v>
      </c>
      <c r="D85" s="33">
        <f t="shared" si="37"/>
        <v>12.678170249379315</v>
      </c>
      <c r="E85" s="34">
        <f t="shared" si="30"/>
        <v>0</v>
      </c>
      <c r="F85" s="15">
        <f t="shared" si="31"/>
        <v>13591.415547575178</v>
      </c>
      <c r="G85" s="15">
        <f t="shared" si="32"/>
        <v>1698.9269434468972</v>
      </c>
      <c r="H85" s="363">
        <f t="shared" si="20"/>
        <v>10000000</v>
      </c>
      <c r="I85" s="364"/>
      <c r="J85" s="462">
        <f t="shared" si="33"/>
        <v>64340.301100034303</v>
      </c>
      <c r="K85" s="463"/>
      <c r="L85" s="363">
        <f t="shared" si="34"/>
        <v>20074.173943210702</v>
      </c>
      <c r="M85" s="463"/>
      <c r="N85" s="391">
        <f t="shared" si="35"/>
        <v>10000000</v>
      </c>
      <c r="O85" s="470"/>
      <c r="P85" s="9">
        <f t="shared" si="24"/>
        <v>3</v>
      </c>
      <c r="R85" s="15">
        <f t="shared" si="25"/>
        <v>5074.8885552459124</v>
      </c>
      <c r="S85" s="35">
        <f t="shared" si="36"/>
        <v>788757.35246492445</v>
      </c>
      <c r="T85" s="36">
        <f t="shared" si="27"/>
        <v>64340.301100034303</v>
      </c>
      <c r="V85"/>
      <c r="W85"/>
      <c r="X85" s="9">
        <v>37</v>
      </c>
      <c r="Y85" s="6">
        <v>4</v>
      </c>
    </row>
    <row r="86" spans="2:25" ht="20.149999999999999" customHeight="1" x14ac:dyDescent="0.35">
      <c r="B86" s="63">
        <v>38</v>
      </c>
      <c r="C86" s="39">
        <f t="shared" si="28"/>
        <v>64340.301100034303</v>
      </c>
      <c r="D86" s="38">
        <f t="shared" si="37"/>
        <v>12.759741978503572</v>
      </c>
      <c r="E86" s="39">
        <f t="shared" si="30"/>
        <v>0</v>
      </c>
      <c r="F86" s="40">
        <f t="shared" si="31"/>
        <v>13915.847997119785</v>
      </c>
      <c r="G86" s="40">
        <f t="shared" si="32"/>
        <v>1739.4809996399731</v>
      </c>
      <c r="H86" s="360">
        <f t="shared" si="20"/>
        <v>10000000</v>
      </c>
      <c r="I86" s="365"/>
      <c r="J86" s="362">
        <f t="shared" si="33"/>
        <v>64340.301100034303</v>
      </c>
      <c r="K86" s="361"/>
      <c r="L86" s="360">
        <f t="shared" si="34"/>
        <v>20074.173943210702</v>
      </c>
      <c r="M86" s="361"/>
      <c r="N86" s="358">
        <f t="shared" si="35"/>
        <v>10000000</v>
      </c>
      <c r="O86" s="359"/>
      <c r="P86" s="9">
        <f t="shared" si="24"/>
        <v>3</v>
      </c>
      <c r="R86" s="40">
        <f t="shared" si="25"/>
        <v>5042.4453102914513</v>
      </c>
      <c r="S86" s="35">
        <f t="shared" si="36"/>
        <v>783714.90715463297</v>
      </c>
      <c r="T86" s="36">
        <f t="shared" si="27"/>
        <v>64340.301100034303</v>
      </c>
      <c r="V86"/>
      <c r="W86"/>
      <c r="X86" s="9">
        <v>38</v>
      </c>
      <c r="Y86" s="6">
        <v>4</v>
      </c>
    </row>
    <row r="87" spans="2:25" ht="20.149999999999999" customHeight="1" x14ac:dyDescent="0.35">
      <c r="B87" s="60">
        <v>39</v>
      </c>
      <c r="C87" s="34">
        <f t="shared" si="28"/>
        <v>64340.301100034303</v>
      </c>
      <c r="D87" s="33">
        <f t="shared" si="37"/>
        <v>12.841838542589139</v>
      </c>
      <c r="E87" s="34">
        <f t="shared" si="30"/>
        <v>0</v>
      </c>
      <c r="F87" s="15">
        <f t="shared" si="31"/>
        <v>14238.206383102772</v>
      </c>
      <c r="G87" s="15">
        <f t="shared" si="32"/>
        <v>1779.7757978878465</v>
      </c>
      <c r="H87" s="363">
        <f t="shared" si="20"/>
        <v>10000000</v>
      </c>
      <c r="I87" s="364"/>
      <c r="J87" s="462">
        <f t="shared" si="33"/>
        <v>64340.301100034303</v>
      </c>
      <c r="K87" s="463"/>
      <c r="L87" s="363">
        <f t="shared" si="34"/>
        <v>20074.173943210702</v>
      </c>
      <c r="M87" s="463"/>
      <c r="N87" s="391">
        <f t="shared" si="35"/>
        <v>10000000</v>
      </c>
      <c r="O87" s="470"/>
      <c r="P87" s="9">
        <f t="shared" si="24"/>
        <v>3</v>
      </c>
      <c r="R87" s="15">
        <f t="shared" si="25"/>
        <v>5010.2094716931533</v>
      </c>
      <c r="S87" s="35">
        <f t="shared" si="36"/>
        <v>778704.69768293982</v>
      </c>
      <c r="T87" s="36">
        <f t="shared" si="27"/>
        <v>64340.301100034303</v>
      </c>
      <c r="V87"/>
      <c r="W87"/>
      <c r="X87" s="9">
        <v>39</v>
      </c>
      <c r="Y87" s="6">
        <v>4</v>
      </c>
    </row>
    <row r="88" spans="2:25" ht="20.149999999999999" customHeight="1" x14ac:dyDescent="0.35">
      <c r="B88" s="63">
        <v>40</v>
      </c>
      <c r="C88" s="39">
        <f t="shared" si="28"/>
        <v>64340.301100034303</v>
      </c>
      <c r="D88" s="38">
        <f t="shared" si="37"/>
        <v>12.92446331843996</v>
      </c>
      <c r="E88" s="39">
        <f t="shared" si="30"/>
        <v>0</v>
      </c>
      <c r="F88" s="40">
        <f t="shared" si="31"/>
        <v>14558.503964800942</v>
      </c>
      <c r="G88" s="40">
        <f t="shared" si="32"/>
        <v>1819.8129956001178</v>
      </c>
      <c r="H88" s="360">
        <f t="shared" si="20"/>
        <v>10000000</v>
      </c>
      <c r="I88" s="365"/>
      <c r="J88" s="362">
        <f t="shared" si="33"/>
        <v>64340.301100034303</v>
      </c>
      <c r="K88" s="361"/>
      <c r="L88" s="360">
        <f t="shared" si="34"/>
        <v>20074.173943210702</v>
      </c>
      <c r="M88" s="361"/>
      <c r="N88" s="358">
        <f t="shared" si="35"/>
        <v>10000000</v>
      </c>
      <c r="O88" s="359"/>
      <c r="P88" s="9">
        <f t="shared" si="24"/>
        <v>3</v>
      </c>
      <c r="R88" s="40">
        <f t="shared" si="25"/>
        <v>4978.1797135233355</v>
      </c>
      <c r="S88" s="35">
        <f t="shared" si="36"/>
        <v>773726.51796941645</v>
      </c>
      <c r="T88" s="36">
        <f t="shared" si="27"/>
        <v>64340.301100034303</v>
      </c>
      <c r="V88"/>
      <c r="W88"/>
      <c r="X88" s="9">
        <v>40</v>
      </c>
      <c r="Y88" s="6">
        <v>4</v>
      </c>
    </row>
    <row r="89" spans="2:25" ht="20.149999999999999" customHeight="1" x14ac:dyDescent="0.35">
      <c r="B89" s="60">
        <v>41</v>
      </c>
      <c r="C89" s="34">
        <f t="shared" si="28"/>
        <v>64340.301100034303</v>
      </c>
      <c r="D89" s="33">
        <f t="shared" si="37"/>
        <v>13.007619704586437</v>
      </c>
      <c r="E89" s="34">
        <f t="shared" si="30"/>
        <v>0</v>
      </c>
      <c r="F89" s="15">
        <f t="shared" si="31"/>
        <v>14876.753916725926</v>
      </c>
      <c r="G89" s="15">
        <f t="shared" si="32"/>
        <v>1859.5942395907407</v>
      </c>
      <c r="H89" s="363">
        <f t="shared" si="20"/>
        <v>10000000</v>
      </c>
      <c r="I89" s="364"/>
      <c r="J89" s="462">
        <f t="shared" si="33"/>
        <v>64340.301100034303</v>
      </c>
      <c r="K89" s="463"/>
      <c r="L89" s="363">
        <f t="shared" si="34"/>
        <v>20074.173943210702</v>
      </c>
      <c r="M89" s="463"/>
      <c r="N89" s="391">
        <f t="shared" si="35"/>
        <v>10000000</v>
      </c>
      <c r="O89" s="470"/>
      <c r="P89" s="9">
        <f t="shared" si="24"/>
        <v>3</v>
      </c>
      <c r="R89" s="15">
        <f t="shared" si="25"/>
        <v>4946.3547183308383</v>
      </c>
      <c r="S89" s="35">
        <f t="shared" si="36"/>
        <v>768780.16325108567</v>
      </c>
      <c r="T89" s="36">
        <f t="shared" si="27"/>
        <v>64340.301100034303</v>
      </c>
      <c r="V89"/>
      <c r="W89"/>
      <c r="X89" s="9">
        <v>41</v>
      </c>
      <c r="Y89" s="6">
        <v>4</v>
      </c>
    </row>
    <row r="90" spans="2:25" ht="20.149999999999999" customHeight="1" x14ac:dyDescent="0.35">
      <c r="B90" s="63">
        <v>42</v>
      </c>
      <c r="C90" s="39">
        <f t="shared" si="28"/>
        <v>64340.301100034303</v>
      </c>
      <c r="D90" s="38">
        <f t="shared" si="37"/>
        <v>13.091311121425221</v>
      </c>
      <c r="E90" s="39">
        <f t="shared" si="30"/>
        <v>0</v>
      </c>
      <c r="F90" s="40">
        <f t="shared" si="31"/>
        <v>15192.969329166021</v>
      </c>
      <c r="G90" s="40">
        <f t="shared" si="32"/>
        <v>1899.1211661457526</v>
      </c>
      <c r="H90" s="360">
        <f t="shared" si="20"/>
        <v>10000000.000000002</v>
      </c>
      <c r="I90" s="365"/>
      <c r="J90" s="362">
        <f t="shared" si="33"/>
        <v>64340.301100034303</v>
      </c>
      <c r="K90" s="361"/>
      <c r="L90" s="360">
        <f t="shared" si="34"/>
        <v>20074.173943210702</v>
      </c>
      <c r="M90" s="361"/>
      <c r="N90" s="358">
        <f t="shared" si="35"/>
        <v>10000000</v>
      </c>
      <c r="O90" s="359"/>
      <c r="P90" s="9">
        <f t="shared" si="24"/>
        <v>3</v>
      </c>
      <c r="R90" s="40">
        <f t="shared" si="25"/>
        <v>4914.7331770868277</v>
      </c>
      <c r="S90" s="35">
        <f t="shared" si="36"/>
        <v>763865.43007399887</v>
      </c>
      <c r="T90" s="36">
        <f t="shared" si="27"/>
        <v>64340.301100034303</v>
      </c>
      <c r="V90"/>
      <c r="W90"/>
      <c r="X90" s="9">
        <v>42</v>
      </c>
      <c r="Y90" s="6">
        <v>4</v>
      </c>
    </row>
    <row r="91" spans="2:25" ht="20.149999999999999" customHeight="1" x14ac:dyDescent="0.35">
      <c r="B91" s="60">
        <v>43</v>
      </c>
      <c r="C91" s="34">
        <f t="shared" si="28"/>
        <v>64340.301100034303</v>
      </c>
      <c r="D91" s="33">
        <f t="shared" si="37"/>
        <v>13.175541011359893</v>
      </c>
      <c r="E91" s="34">
        <f t="shared" si="30"/>
        <v>0</v>
      </c>
      <c r="F91" s="15">
        <f t="shared" si="31"/>
        <v>15507.163208724656</v>
      </c>
      <c r="G91" s="15">
        <f t="shared" si="32"/>
        <v>1938.395401090582</v>
      </c>
      <c r="H91" s="363">
        <f t="shared" si="20"/>
        <v>10000000</v>
      </c>
      <c r="I91" s="364"/>
      <c r="J91" s="462">
        <f t="shared" si="33"/>
        <v>64340.301100034303</v>
      </c>
      <c r="K91" s="463"/>
      <c r="L91" s="363">
        <f t="shared" si="34"/>
        <v>20074.173943210702</v>
      </c>
      <c r="M91" s="463"/>
      <c r="N91" s="391">
        <f t="shared" si="35"/>
        <v>10000000</v>
      </c>
      <c r="O91" s="470"/>
      <c r="P91" s="9">
        <f t="shared" si="24"/>
        <v>3</v>
      </c>
      <c r="R91" s="15">
        <f t="shared" si="25"/>
        <v>4883.3137891309643</v>
      </c>
      <c r="S91" s="35">
        <f t="shared" si="36"/>
        <v>758982.11628486787</v>
      </c>
      <c r="T91" s="36">
        <f t="shared" si="27"/>
        <v>64340.301100034303</v>
      </c>
      <c r="V91"/>
      <c r="W91"/>
      <c r="X91" s="9">
        <v>43</v>
      </c>
      <c r="Y91" s="6">
        <v>4</v>
      </c>
    </row>
    <row r="92" spans="2:25" ht="20.149999999999999" customHeight="1" x14ac:dyDescent="0.35">
      <c r="B92" s="63">
        <v>44</v>
      </c>
      <c r="C92" s="39">
        <f t="shared" si="28"/>
        <v>64340.301100034303</v>
      </c>
      <c r="D92" s="38">
        <f t="shared" si="37"/>
        <v>13.260312838942568</v>
      </c>
      <c r="E92" s="39">
        <f t="shared" si="30"/>
        <v>0</v>
      </c>
      <c r="F92" s="40">
        <f t="shared" si="31"/>
        <v>15819.348478855371</v>
      </c>
      <c r="G92" s="40">
        <f t="shared" si="32"/>
        <v>1977.4185598569213</v>
      </c>
      <c r="H92" s="360">
        <f t="shared" si="20"/>
        <v>10000000</v>
      </c>
      <c r="I92" s="365"/>
      <c r="J92" s="362">
        <f t="shared" si="33"/>
        <v>64340.301100034303</v>
      </c>
      <c r="K92" s="361"/>
      <c r="L92" s="360">
        <f t="shared" si="34"/>
        <v>20074.173943210702</v>
      </c>
      <c r="M92" s="361"/>
      <c r="N92" s="358">
        <f t="shared" si="35"/>
        <v>10000000</v>
      </c>
      <c r="O92" s="359"/>
      <c r="P92" s="9">
        <f t="shared" si="24"/>
        <v>3</v>
      </c>
      <c r="R92" s="40">
        <f t="shared" si="25"/>
        <v>4852.0952621178931</v>
      </c>
      <c r="S92" s="35">
        <f t="shared" si="36"/>
        <v>754130.02102274995</v>
      </c>
      <c r="T92" s="36">
        <f t="shared" si="27"/>
        <v>64340.301100034303</v>
      </c>
      <c r="V92"/>
      <c r="W92"/>
      <c r="X92" s="9">
        <v>44</v>
      </c>
      <c r="Y92" s="6">
        <v>4</v>
      </c>
    </row>
    <row r="93" spans="2:25" ht="20.149999999999999" customHeight="1" x14ac:dyDescent="0.35">
      <c r="B93" s="60">
        <v>45</v>
      </c>
      <c r="C93" s="34">
        <f t="shared" si="28"/>
        <v>64340.301100034303</v>
      </c>
      <c r="D93" s="33">
        <f t="shared" si="37"/>
        <v>13.345630091016389</v>
      </c>
      <c r="E93" s="34">
        <f t="shared" si="30"/>
        <v>0</v>
      </c>
      <c r="F93" s="15">
        <f t="shared" si="31"/>
        <v>16129.537980393383</v>
      </c>
      <c r="G93" s="15">
        <f t="shared" si="32"/>
        <v>2016.1922475491729</v>
      </c>
      <c r="H93" s="363">
        <f t="shared" si="20"/>
        <v>10000000</v>
      </c>
      <c r="I93" s="364"/>
      <c r="J93" s="462">
        <f t="shared" si="33"/>
        <v>64340.301100034303</v>
      </c>
      <c r="K93" s="463"/>
      <c r="L93" s="363">
        <f t="shared" si="34"/>
        <v>20074.173943210702</v>
      </c>
      <c r="M93" s="463"/>
      <c r="N93" s="391">
        <f t="shared" si="35"/>
        <v>10000000</v>
      </c>
      <c r="O93" s="470"/>
      <c r="P93" s="9">
        <f t="shared" si="24"/>
        <v>3</v>
      </c>
      <c r="R93" s="15">
        <f t="shared" si="25"/>
        <v>4821.0763119640924</v>
      </c>
      <c r="S93" s="35">
        <f t="shared" si="36"/>
        <v>749308.94471078587</v>
      </c>
      <c r="T93" s="36">
        <f t="shared" si="27"/>
        <v>64340.301100034303</v>
      </c>
      <c r="V93"/>
      <c r="W93"/>
      <c r="X93" s="9">
        <v>45</v>
      </c>
      <c r="Y93" s="6">
        <v>4</v>
      </c>
    </row>
    <row r="94" spans="2:25" ht="20.149999999999999" customHeight="1" x14ac:dyDescent="0.35">
      <c r="B94" s="63">
        <v>46</v>
      </c>
      <c r="C94" s="39">
        <f t="shared" si="28"/>
        <v>64340.301100034303</v>
      </c>
      <c r="D94" s="38">
        <f t="shared" si="37"/>
        <v>13.431496276858956</v>
      </c>
      <c r="E94" s="39">
        <f t="shared" si="30"/>
        <v>0</v>
      </c>
      <c r="F94" s="40">
        <f t="shared" si="31"/>
        <v>16437.744472083763</v>
      </c>
      <c r="G94" s="40">
        <f t="shared" si="32"/>
        <v>2054.7180590104704</v>
      </c>
      <c r="H94" s="360">
        <f t="shared" si="20"/>
        <v>10000000</v>
      </c>
      <c r="I94" s="365"/>
      <c r="J94" s="362">
        <f t="shared" si="33"/>
        <v>64340.301100034303</v>
      </c>
      <c r="K94" s="361"/>
      <c r="L94" s="360">
        <f t="shared" si="34"/>
        <v>20074.173943210702</v>
      </c>
      <c r="M94" s="361"/>
      <c r="N94" s="358">
        <f t="shared" si="35"/>
        <v>10000000</v>
      </c>
      <c r="O94" s="359"/>
      <c r="P94" s="9">
        <f t="shared" si="24"/>
        <v>3</v>
      </c>
      <c r="R94" s="40">
        <f t="shared" si="25"/>
        <v>4790.2556627950544</v>
      </c>
      <c r="S94" s="35">
        <f t="shared" si="36"/>
        <v>744518.68904799083</v>
      </c>
      <c r="T94" s="36">
        <f t="shared" si="27"/>
        <v>64340.301100034303</v>
      </c>
      <c r="V94"/>
      <c r="W94"/>
      <c r="X94" s="9">
        <v>46</v>
      </c>
      <c r="Y94" s="6">
        <v>4</v>
      </c>
    </row>
    <row r="95" spans="2:25" ht="20.149999999999999" customHeight="1" x14ac:dyDescent="0.35">
      <c r="B95" s="60">
        <v>47</v>
      </c>
      <c r="C95" s="34">
        <f t="shared" si="28"/>
        <v>64340.301100034303</v>
      </c>
      <c r="D95" s="33">
        <f t="shared" si="37"/>
        <v>13.517914928326666</v>
      </c>
      <c r="E95" s="34">
        <f t="shared" si="30"/>
        <v>0</v>
      </c>
      <c r="F95" s="15">
        <f t="shared" si="31"/>
        <v>16743.98063110622</v>
      </c>
      <c r="G95" s="15">
        <f t="shared" si="32"/>
        <v>2092.9975788882775</v>
      </c>
      <c r="H95" s="363">
        <f t="shared" si="20"/>
        <v>10000000</v>
      </c>
      <c r="I95" s="364"/>
      <c r="J95" s="462">
        <f t="shared" si="33"/>
        <v>64340.301100034303</v>
      </c>
      <c r="K95" s="463"/>
      <c r="L95" s="363">
        <f t="shared" si="34"/>
        <v>20074.173943210702</v>
      </c>
      <c r="M95" s="463"/>
      <c r="N95" s="391">
        <f t="shared" si="35"/>
        <v>10000000</v>
      </c>
      <c r="O95" s="470"/>
      <c r="P95" s="9">
        <f t="shared" si="24"/>
        <v>3</v>
      </c>
      <c r="R95" s="15">
        <f t="shared" si="25"/>
        <v>4759.6320468928088</v>
      </c>
      <c r="S95" s="35">
        <f t="shared" si="36"/>
        <v>739759.05700109806</v>
      </c>
      <c r="T95" s="36">
        <f t="shared" si="27"/>
        <v>64340.301100034303</v>
      </c>
      <c r="V95"/>
      <c r="W95"/>
      <c r="X95" s="9">
        <v>47</v>
      </c>
      <c r="Y95" s="6">
        <v>4</v>
      </c>
    </row>
    <row r="96" spans="2:25" ht="20.149999999999999" customHeight="1" x14ac:dyDescent="0.35">
      <c r="B96" s="63">
        <v>48</v>
      </c>
      <c r="C96" s="39">
        <f t="shared" si="28"/>
        <v>64340.301100034303</v>
      </c>
      <c r="D96" s="38">
        <f t="shared" si="37"/>
        <v>13.604889599999986</v>
      </c>
      <c r="E96" s="39">
        <f t="shared" si="30"/>
        <v>0</v>
      </c>
      <c r="F96" s="40">
        <f t="shared" si="31"/>
        <v>17048.25905359655</v>
      </c>
      <c r="G96" s="40">
        <f t="shared" si="32"/>
        <v>2131.0323816995688</v>
      </c>
      <c r="H96" s="360">
        <f t="shared" si="20"/>
        <v>10000000.000000002</v>
      </c>
      <c r="I96" s="365"/>
      <c r="J96" s="362">
        <f t="shared" si="33"/>
        <v>64340.301100034303</v>
      </c>
      <c r="K96" s="361"/>
      <c r="L96" s="360">
        <f t="shared" si="34"/>
        <v>20074.173943210702</v>
      </c>
      <c r="M96" s="361"/>
      <c r="N96" s="358">
        <f t="shared" si="35"/>
        <v>10000000</v>
      </c>
      <c r="O96" s="359"/>
      <c r="P96" s="9">
        <f t="shared" si="24"/>
        <v>3</v>
      </c>
      <c r="R96" s="40">
        <f t="shared" si="25"/>
        <v>4729.2042046437755</v>
      </c>
      <c r="S96" s="35">
        <f t="shared" si="36"/>
        <v>735029.85279645433</v>
      </c>
      <c r="T96" s="36">
        <f t="shared" si="27"/>
        <v>64340.301100034303</v>
      </c>
      <c r="V96"/>
      <c r="W96"/>
      <c r="X96" s="9">
        <v>48</v>
      </c>
      <c r="Y96" s="6">
        <v>4</v>
      </c>
    </row>
    <row r="97" spans="2:25" ht="20.149999999999999" customHeight="1" x14ac:dyDescent="0.35">
      <c r="B97" s="60">
        <v>49</v>
      </c>
      <c r="C97" s="34">
        <f t="shared" si="28"/>
        <v>64340.301100034303</v>
      </c>
      <c r="D97" s="33">
        <f t="shared" si="37"/>
        <v>13.692423869329659</v>
      </c>
      <c r="E97" s="34">
        <f t="shared" si="30"/>
        <v>0</v>
      </c>
      <c r="F97" s="15">
        <f t="shared" si="31"/>
        <v>17350.592255164738</v>
      </c>
      <c r="G97" s="15">
        <f t="shared" si="32"/>
        <v>2168.8240318955923</v>
      </c>
      <c r="H97" s="363">
        <f t="shared" si="20"/>
        <v>10000000.000000004</v>
      </c>
      <c r="I97" s="364"/>
      <c r="J97" s="462">
        <f t="shared" si="33"/>
        <v>64340.301100034303</v>
      </c>
      <c r="K97" s="463"/>
      <c r="L97" s="363">
        <f t="shared" si="34"/>
        <v>20074.173943210702</v>
      </c>
      <c r="M97" s="463"/>
      <c r="N97" s="391">
        <f t="shared" si="35"/>
        <v>10000000</v>
      </c>
      <c r="O97" s="470"/>
      <c r="P97" s="9">
        <f t="shared" si="24"/>
        <v>4</v>
      </c>
      <c r="R97" s="15">
        <f t="shared" si="25"/>
        <v>4698.9708844869565</v>
      </c>
      <c r="S97" s="35">
        <f t="shared" si="36"/>
        <v>730330.88191196742</v>
      </c>
      <c r="T97" s="36">
        <f t="shared" si="27"/>
        <v>64340.301100034303</v>
      </c>
      <c r="V97"/>
      <c r="W97"/>
      <c r="X97" s="9">
        <v>49</v>
      </c>
      <c r="Y97" s="6">
        <v>5</v>
      </c>
    </row>
    <row r="98" spans="2:25" ht="20.149999999999999" customHeight="1" x14ac:dyDescent="0.35">
      <c r="B98" s="63">
        <v>50</v>
      </c>
      <c r="C98" s="39">
        <f t="shared" si="28"/>
        <v>64340.301100034303</v>
      </c>
      <c r="D98" s="38">
        <f t="shared" si="37"/>
        <v>13.780521336783856</v>
      </c>
      <c r="E98" s="39">
        <f t="shared" si="30"/>
        <v>0</v>
      </c>
      <c r="F98" s="40">
        <f t="shared" si="31"/>
        <v>17650.992671409746</v>
      </c>
      <c r="G98" s="40">
        <f t="shared" si="32"/>
        <v>2206.3740839262182</v>
      </c>
      <c r="H98" s="360">
        <f t="shared" si="20"/>
        <v>10000000.000000004</v>
      </c>
      <c r="I98" s="365"/>
      <c r="J98" s="362">
        <f t="shared" si="33"/>
        <v>64340.301100034303</v>
      </c>
      <c r="K98" s="361"/>
      <c r="L98" s="360">
        <f t="shared" si="34"/>
        <v>20074.173943210702</v>
      </c>
      <c r="M98" s="361"/>
      <c r="N98" s="358">
        <f t="shared" si="35"/>
        <v>10000000</v>
      </c>
      <c r="O98" s="359"/>
      <c r="P98" s="9">
        <f t="shared" si="24"/>
        <v>4</v>
      </c>
      <c r="R98" s="40">
        <f t="shared" si="25"/>
        <v>4668.9308428624554</v>
      </c>
      <c r="S98" s="35">
        <f t="shared" si="36"/>
        <v>725661.95106910495</v>
      </c>
      <c r="T98" s="36">
        <f t="shared" si="27"/>
        <v>64340.301100034303</v>
      </c>
      <c r="V98"/>
      <c r="W98"/>
      <c r="X98" s="9">
        <v>50</v>
      </c>
      <c r="Y98" s="6">
        <v>5</v>
      </c>
    </row>
    <row r="99" spans="2:25" ht="20.149999999999999" customHeight="1" x14ac:dyDescent="0.35">
      <c r="B99" s="60">
        <v>51</v>
      </c>
      <c r="C99" s="34">
        <f t="shared" si="28"/>
        <v>64340.301100034303</v>
      </c>
      <c r="D99" s="33">
        <f t="shared" si="37"/>
        <v>13.869185625996268</v>
      </c>
      <c r="E99" s="34">
        <f t="shared" si="30"/>
        <v>0</v>
      </c>
      <c r="F99" s="15">
        <f t="shared" si="31"/>
        <v>17949.472658431027</v>
      </c>
      <c r="G99" s="15">
        <f t="shared" si="32"/>
        <v>2243.6840823038783</v>
      </c>
      <c r="H99" s="363">
        <f t="shared" si="20"/>
        <v>10000000.000000002</v>
      </c>
      <c r="I99" s="364"/>
      <c r="J99" s="462">
        <f t="shared" si="33"/>
        <v>64340.301100034303</v>
      </c>
      <c r="K99" s="463"/>
      <c r="L99" s="363">
        <f t="shared" si="34"/>
        <v>20074.173943210702</v>
      </c>
      <c r="M99" s="463"/>
      <c r="N99" s="391">
        <f t="shared" si="35"/>
        <v>10000000</v>
      </c>
      <c r="O99" s="470"/>
      <c r="P99" s="9">
        <f t="shared" si="24"/>
        <v>4</v>
      </c>
      <c r="R99" s="15">
        <f t="shared" si="25"/>
        <v>4639.082844160328</v>
      </c>
      <c r="S99" s="35">
        <f t="shared" si="36"/>
        <v>721022.86822494457</v>
      </c>
      <c r="T99" s="36">
        <f t="shared" si="27"/>
        <v>64340.301100034303</v>
      </c>
      <c r="V99"/>
      <c r="W99"/>
      <c r="X99" s="9">
        <v>51</v>
      </c>
      <c r="Y99" s="6">
        <v>5</v>
      </c>
    </row>
    <row r="100" spans="2:25" ht="20.149999999999999" customHeight="1" x14ac:dyDescent="0.35">
      <c r="B100" s="63">
        <v>52</v>
      </c>
      <c r="C100" s="39">
        <f t="shared" si="28"/>
        <v>64340.301100034303</v>
      </c>
      <c r="D100" s="38">
        <f t="shared" si="37"/>
        <v>13.958420383915154</v>
      </c>
      <c r="E100" s="39">
        <f t="shared" si="30"/>
        <v>0</v>
      </c>
      <c r="F100" s="40">
        <f t="shared" si="31"/>
        <v>18246.04449333674</v>
      </c>
      <c r="G100" s="40">
        <f t="shared" si="32"/>
        <v>2280.7555616670925</v>
      </c>
      <c r="H100" s="360">
        <f t="shared" si="20"/>
        <v>10000000.000000002</v>
      </c>
      <c r="I100" s="365"/>
      <c r="J100" s="362">
        <f t="shared" si="33"/>
        <v>64340.301100034303</v>
      </c>
      <c r="K100" s="361"/>
      <c r="L100" s="360">
        <f t="shared" si="34"/>
        <v>20074.173943210702</v>
      </c>
      <c r="M100" s="361"/>
      <c r="N100" s="358">
        <f t="shared" si="35"/>
        <v>10000000</v>
      </c>
      <c r="O100" s="359"/>
      <c r="P100" s="9">
        <f t="shared" si="24"/>
        <v>4</v>
      </c>
      <c r="R100" s="40">
        <f t="shared" si="25"/>
        <v>4609.4256606697563</v>
      </c>
      <c r="S100" s="35">
        <f t="shared" si="36"/>
        <v>716413.44256427477</v>
      </c>
      <c r="T100" s="36">
        <f t="shared" si="27"/>
        <v>64340.301100034303</v>
      </c>
      <c r="V100"/>
      <c r="W100"/>
      <c r="X100" s="9">
        <v>52</v>
      </c>
      <c r="Y100" s="6">
        <v>5</v>
      </c>
    </row>
    <row r="101" spans="2:25" ht="20.149999999999999" customHeight="1" x14ac:dyDescent="0.35">
      <c r="B101" s="60">
        <v>53</v>
      </c>
      <c r="C101" s="34">
        <f t="shared" si="28"/>
        <v>64340.301100034303</v>
      </c>
      <c r="D101" s="33">
        <f t="shared" si="37"/>
        <v>14.04822928095335</v>
      </c>
      <c r="E101" s="34">
        <f t="shared" si="30"/>
        <v>0</v>
      </c>
      <c r="F101" s="15">
        <f t="shared" si="31"/>
        <v>18540.720374748762</v>
      </c>
      <c r="G101" s="15">
        <f t="shared" si="32"/>
        <v>2317.5900468435952</v>
      </c>
      <c r="H101" s="363">
        <f t="shared" si="20"/>
        <v>10000000.000000002</v>
      </c>
      <c r="I101" s="364"/>
      <c r="J101" s="462">
        <f t="shared" si="33"/>
        <v>64340.301100034303</v>
      </c>
      <c r="K101" s="463"/>
      <c r="L101" s="363">
        <f t="shared" si="34"/>
        <v>20074.173943210702</v>
      </c>
      <c r="M101" s="463"/>
      <c r="N101" s="391">
        <f t="shared" si="35"/>
        <v>10000000</v>
      </c>
      <c r="O101" s="470"/>
      <c r="P101" s="9">
        <f t="shared" si="24"/>
        <v>4</v>
      </c>
      <c r="R101" s="15">
        <f t="shared" si="25"/>
        <v>4579.9580725285541</v>
      </c>
      <c r="S101" s="35">
        <f t="shared" si="36"/>
        <v>711833.48449174617</v>
      </c>
      <c r="T101" s="36">
        <f t="shared" si="27"/>
        <v>64340.301100034303</v>
      </c>
      <c r="V101"/>
      <c r="W101"/>
      <c r="X101" s="9">
        <v>53</v>
      </c>
      <c r="Y101" s="6">
        <v>5</v>
      </c>
    </row>
    <row r="102" spans="2:25" ht="20.149999999999999" customHeight="1" x14ac:dyDescent="0.35">
      <c r="B102" s="63">
        <v>54</v>
      </c>
      <c r="C102" s="39">
        <f t="shared" si="28"/>
        <v>64340.301100034303</v>
      </c>
      <c r="D102" s="38">
        <f t="shared" si="37"/>
        <v>14.138616011139236</v>
      </c>
      <c r="E102" s="39">
        <f t="shared" si="30"/>
        <v>0</v>
      </c>
      <c r="F102" s="40">
        <f t="shared" si="31"/>
        <v>18833.512423304408</v>
      </c>
      <c r="G102" s="40">
        <f t="shared" si="32"/>
        <v>2354.189052913051</v>
      </c>
      <c r="H102" s="360">
        <f t="shared" si="20"/>
        <v>10000000</v>
      </c>
      <c r="I102" s="365"/>
      <c r="J102" s="362">
        <f t="shared" si="33"/>
        <v>64340.301100034303</v>
      </c>
      <c r="K102" s="361"/>
      <c r="L102" s="360">
        <f t="shared" si="34"/>
        <v>20074.173943210702</v>
      </c>
      <c r="M102" s="361"/>
      <c r="N102" s="358">
        <f t="shared" si="35"/>
        <v>10000000</v>
      </c>
      <c r="O102" s="359"/>
      <c r="P102" s="9">
        <f t="shared" si="24"/>
        <v>4</v>
      </c>
      <c r="R102" s="40">
        <f t="shared" si="25"/>
        <v>4550.6788676729902</v>
      </c>
      <c r="S102" s="35">
        <f t="shared" si="36"/>
        <v>707282.80562407314</v>
      </c>
      <c r="T102" s="36">
        <f t="shared" si="27"/>
        <v>64340.301100034303</v>
      </c>
      <c r="V102"/>
      <c r="W102"/>
      <c r="X102" s="9">
        <v>54</v>
      </c>
      <c r="Y102" s="6">
        <v>5</v>
      </c>
    </row>
    <row r="103" spans="2:25" ht="20.149999999999999" customHeight="1" x14ac:dyDescent="0.35">
      <c r="B103" s="60">
        <v>55</v>
      </c>
      <c r="C103" s="34">
        <f t="shared" si="28"/>
        <v>64340.301100034303</v>
      </c>
      <c r="D103" s="33">
        <f t="shared" si="37"/>
        <v>14.229584292268683</v>
      </c>
      <c r="E103" s="34">
        <f t="shared" si="30"/>
        <v>0</v>
      </c>
      <c r="F103" s="15">
        <f t="shared" si="31"/>
        <v>19124.432682154995</v>
      </c>
      <c r="G103" s="15">
        <f t="shared" si="32"/>
        <v>2390.5540852693744</v>
      </c>
      <c r="H103" s="363">
        <f t="shared" si="20"/>
        <v>10000000.000000002</v>
      </c>
      <c r="I103" s="364"/>
      <c r="J103" s="462">
        <f t="shared" si="33"/>
        <v>64340.301100034303</v>
      </c>
      <c r="K103" s="463"/>
      <c r="L103" s="363">
        <f t="shared" si="34"/>
        <v>20074.173943210702</v>
      </c>
      <c r="M103" s="463"/>
      <c r="N103" s="391">
        <f t="shared" si="35"/>
        <v>10000000</v>
      </c>
      <c r="O103" s="470"/>
      <c r="P103" s="9">
        <f t="shared" si="24"/>
        <v>4</v>
      </c>
      <c r="R103" s="15">
        <f t="shared" si="25"/>
        <v>4521.586841787931</v>
      </c>
      <c r="S103" s="35">
        <f t="shared" si="36"/>
        <v>702761.21878228523</v>
      </c>
      <c r="T103" s="36">
        <f t="shared" si="27"/>
        <v>64340.301100034303</v>
      </c>
      <c r="V103"/>
      <c r="W103"/>
      <c r="X103" s="9">
        <v>55</v>
      </c>
      <c r="Y103" s="6">
        <v>5</v>
      </c>
    </row>
    <row r="104" spans="2:25" ht="20.149999999999999" customHeight="1" x14ac:dyDescent="0.35">
      <c r="B104" s="63">
        <v>56</v>
      </c>
      <c r="C104" s="39">
        <f t="shared" si="28"/>
        <v>64340.301100034303</v>
      </c>
      <c r="D104" s="38">
        <f t="shared" si="37"/>
        <v>14.321137866057972</v>
      </c>
      <c r="E104" s="39">
        <f t="shared" si="30"/>
        <v>0</v>
      </c>
      <c r="F104" s="40">
        <f t="shared" si="31"/>
        <v>19413.493117461217</v>
      </c>
      <c r="G104" s="40">
        <f t="shared" si="32"/>
        <v>2426.6866396826522</v>
      </c>
      <c r="H104" s="360">
        <f t="shared" si="20"/>
        <v>10000000.000000002</v>
      </c>
      <c r="I104" s="365"/>
      <c r="J104" s="362">
        <f t="shared" si="33"/>
        <v>64340.301100034303</v>
      </c>
      <c r="K104" s="361"/>
      <c r="L104" s="360">
        <f t="shared" si="34"/>
        <v>20074.173943210702</v>
      </c>
      <c r="M104" s="361"/>
      <c r="N104" s="358">
        <f t="shared" si="35"/>
        <v>10000000</v>
      </c>
      <c r="O104" s="359"/>
      <c r="P104" s="9">
        <f t="shared" si="24"/>
        <v>4</v>
      </c>
      <c r="R104" s="40">
        <f t="shared" si="25"/>
        <v>4492.6807982573091</v>
      </c>
      <c r="S104" s="35">
        <f t="shared" si="36"/>
        <v>698268.53798402788</v>
      </c>
      <c r="T104" s="36">
        <f t="shared" si="27"/>
        <v>64340.301100034303</v>
      </c>
      <c r="V104"/>
      <c r="W104"/>
      <c r="X104" s="9">
        <v>56</v>
      </c>
      <c r="Y104" s="6">
        <v>5</v>
      </c>
    </row>
    <row r="105" spans="2:25" ht="20.149999999999999" customHeight="1" x14ac:dyDescent="0.35">
      <c r="B105" s="60">
        <v>57</v>
      </c>
      <c r="C105" s="34">
        <f t="shared" si="28"/>
        <v>64340.301100034303</v>
      </c>
      <c r="D105" s="33">
        <f t="shared" si="37"/>
        <v>14.4132804982977</v>
      </c>
      <c r="E105" s="34">
        <f t="shared" si="30"/>
        <v>0</v>
      </c>
      <c r="F105" s="15">
        <f t="shared" si="31"/>
        <v>19700.705618885302</v>
      </c>
      <c r="G105" s="15">
        <f t="shared" si="32"/>
        <v>2462.5882023606628</v>
      </c>
      <c r="H105" s="363">
        <f t="shared" si="20"/>
        <v>10000000.000000002</v>
      </c>
      <c r="I105" s="364"/>
      <c r="J105" s="462">
        <f t="shared" si="33"/>
        <v>64340.301100034303</v>
      </c>
      <c r="K105" s="463"/>
      <c r="L105" s="363">
        <f t="shared" si="34"/>
        <v>20074.173943210702</v>
      </c>
      <c r="M105" s="463"/>
      <c r="N105" s="391">
        <f t="shared" si="35"/>
        <v>10000000</v>
      </c>
      <c r="O105" s="470"/>
      <c r="P105" s="9">
        <f t="shared" si="24"/>
        <v>4</v>
      </c>
      <c r="R105" s="15">
        <f t="shared" si="25"/>
        <v>4463.9595481148999</v>
      </c>
      <c r="S105" s="35">
        <f t="shared" si="36"/>
        <v>693804.57843591296</v>
      </c>
      <c r="T105" s="36">
        <f t="shared" si="27"/>
        <v>64340.301100034303</v>
      </c>
      <c r="V105"/>
      <c r="W105"/>
      <c r="X105" s="9">
        <v>57</v>
      </c>
      <c r="Y105" s="6">
        <v>5</v>
      </c>
    </row>
    <row r="106" spans="2:25" ht="20.149999999999999" customHeight="1" x14ac:dyDescent="0.35">
      <c r="B106" s="63">
        <v>58</v>
      </c>
      <c r="C106" s="39">
        <f t="shared" si="28"/>
        <v>64340.301100034303</v>
      </c>
      <c r="D106" s="38">
        <f t="shared" si="37"/>
        <v>14.506015979007673</v>
      </c>
      <c r="E106" s="39">
        <f t="shared" si="30"/>
        <v>0</v>
      </c>
      <c r="F106" s="40">
        <f t="shared" si="31"/>
        <v>19986.0820000801</v>
      </c>
      <c r="G106" s="40">
        <f t="shared" si="32"/>
        <v>2498.2602500100124</v>
      </c>
      <c r="H106" s="360">
        <f t="shared" si="20"/>
        <v>10000000.000000002</v>
      </c>
      <c r="I106" s="365"/>
      <c r="J106" s="362">
        <f t="shared" si="33"/>
        <v>64340.301100034303</v>
      </c>
      <c r="K106" s="361"/>
      <c r="L106" s="360">
        <f t="shared" si="34"/>
        <v>20074.173943210702</v>
      </c>
      <c r="M106" s="361"/>
      <c r="N106" s="358">
        <f t="shared" si="35"/>
        <v>10000000</v>
      </c>
      <c r="O106" s="359"/>
      <c r="P106" s="9">
        <f t="shared" si="24"/>
        <v>4</v>
      </c>
      <c r="R106" s="40">
        <f t="shared" si="25"/>
        <v>4435.4219099954207</v>
      </c>
      <c r="S106" s="35">
        <f t="shared" si="36"/>
        <v>689369.15652591758</v>
      </c>
      <c r="T106" s="36">
        <f t="shared" si="27"/>
        <v>64340.301100034303</v>
      </c>
      <c r="V106"/>
      <c r="W106"/>
      <c r="X106" s="9">
        <v>58</v>
      </c>
      <c r="Y106" s="6">
        <v>5</v>
      </c>
    </row>
    <row r="107" spans="2:25" ht="20.149999999999999" customHeight="1" x14ac:dyDescent="0.35">
      <c r="B107" s="60">
        <v>59</v>
      </c>
      <c r="C107" s="34">
        <f t="shared" si="28"/>
        <v>64340.301100034303</v>
      </c>
      <c r="D107" s="33">
        <f t="shared" si="37"/>
        <v>14.599348122592799</v>
      </c>
      <c r="E107" s="34">
        <f t="shared" si="30"/>
        <v>0</v>
      </c>
      <c r="F107" s="15">
        <f t="shared" si="31"/>
        <v>20269.633999174963</v>
      </c>
      <c r="G107" s="15">
        <f t="shared" si="32"/>
        <v>2533.7042498968704</v>
      </c>
      <c r="H107" s="363">
        <f t="shared" si="20"/>
        <v>10000000.000000002</v>
      </c>
      <c r="I107" s="364"/>
      <c r="J107" s="462">
        <f t="shared" si="33"/>
        <v>64340.301100034303</v>
      </c>
      <c r="K107" s="463"/>
      <c r="L107" s="363">
        <f t="shared" si="34"/>
        <v>20074.173943210702</v>
      </c>
      <c r="M107" s="463"/>
      <c r="N107" s="391">
        <f t="shared" si="35"/>
        <v>10000000</v>
      </c>
      <c r="O107" s="470"/>
      <c r="P107" s="9">
        <f t="shared" si="24"/>
        <v>4</v>
      </c>
      <c r="R107" s="15">
        <f t="shared" si="25"/>
        <v>4407.0667100859337</v>
      </c>
      <c r="S107" s="35">
        <f t="shared" si="36"/>
        <v>684962.08981583163</v>
      </c>
      <c r="T107" s="36">
        <f t="shared" si="27"/>
        <v>64340.301100034303</v>
      </c>
      <c r="V107"/>
      <c r="W107"/>
      <c r="X107" s="9">
        <v>59</v>
      </c>
      <c r="Y107" s="6">
        <v>5</v>
      </c>
    </row>
    <row r="108" spans="2:25" ht="20.149999999999999" customHeight="1" x14ac:dyDescent="0.35">
      <c r="B108" s="63">
        <v>60</v>
      </c>
      <c r="C108" s="39">
        <f t="shared" si="28"/>
        <v>64340.301100034303</v>
      </c>
      <c r="D108" s="38">
        <f t="shared" si="37"/>
        <v>14.693280767999983</v>
      </c>
      <c r="E108" s="39">
        <f t="shared" si="30"/>
        <v>0</v>
      </c>
      <c r="F108" s="40">
        <f t="shared" si="31"/>
        <v>20551.373279258602</v>
      </c>
      <c r="G108" s="40">
        <f t="shared" si="32"/>
        <v>2568.9216599073252</v>
      </c>
      <c r="H108" s="360">
        <f t="shared" si="20"/>
        <v>10000000.000000002</v>
      </c>
      <c r="I108" s="365"/>
      <c r="J108" s="362">
        <f t="shared" si="33"/>
        <v>64340.301100034303</v>
      </c>
      <c r="K108" s="361"/>
      <c r="L108" s="360">
        <f t="shared" si="34"/>
        <v>20074.173943210702</v>
      </c>
      <c r="M108" s="361"/>
      <c r="N108" s="358">
        <f t="shared" si="35"/>
        <v>10000000</v>
      </c>
      <c r="O108" s="359"/>
      <c r="P108" s="9">
        <f t="shared" si="24"/>
        <v>4</v>
      </c>
      <c r="R108" s="40">
        <f t="shared" si="25"/>
        <v>4378.8927820775698</v>
      </c>
      <c r="S108" s="35">
        <f t="shared" si="36"/>
        <v>680583.19703375408</v>
      </c>
      <c r="T108" s="36">
        <f t="shared" si="27"/>
        <v>64340.301100034303</v>
      </c>
      <c r="V108"/>
      <c r="W108"/>
      <c r="X108" s="9">
        <v>60</v>
      </c>
      <c r="Y108" s="6">
        <v>5</v>
      </c>
    </row>
    <row r="109" spans="2:25" ht="20.25" customHeight="1" x14ac:dyDescent="0.35">
      <c r="B109" s="60">
        <v>61</v>
      </c>
      <c r="C109" s="34">
        <f t="shared" ref="C109:C172" si="38">T109</f>
        <v>64340.301100034303</v>
      </c>
      <c r="D109" s="38">
        <f t="shared" si="37"/>
        <v>14.787817778876029</v>
      </c>
      <c r="E109" s="34">
        <f t="shared" si="30"/>
        <v>0</v>
      </c>
      <c r="F109" s="15">
        <f t="shared" si="31"/>
        <v>20831.311428858771</v>
      </c>
      <c r="G109" s="15">
        <f t="shared" si="32"/>
        <v>2603.9139286073464</v>
      </c>
      <c r="H109" s="363">
        <f t="shared" si="20"/>
        <v>10000000.000000002</v>
      </c>
      <c r="I109" s="364"/>
      <c r="J109" s="464">
        <f t="shared" si="33"/>
        <v>64340.301100034303</v>
      </c>
      <c r="K109" s="465"/>
      <c r="L109" s="468">
        <f t="shared" ref="L109:L172" si="39">J109*$H$8</f>
        <v>20074.173943210702</v>
      </c>
      <c r="M109" s="465"/>
      <c r="N109" s="471">
        <f t="shared" si="35"/>
        <v>10000000</v>
      </c>
      <c r="O109" s="472"/>
      <c r="P109" s="9">
        <f t="shared" si="24"/>
        <v>5</v>
      </c>
      <c r="R109" s="40">
        <f t="shared" si="25"/>
        <v>4350.8989671175532</v>
      </c>
      <c r="S109" s="35">
        <f t="shared" ref="S109:S172" si="40">S108-R109</f>
        <v>676232.29806663655</v>
      </c>
      <c r="T109" s="36">
        <f t="shared" si="27"/>
        <v>64340.301100034303</v>
      </c>
      <c r="V109"/>
      <c r="W109"/>
      <c r="X109" s="9">
        <v>61</v>
      </c>
      <c r="Y109" s="6">
        <v>6</v>
      </c>
    </row>
    <row r="110" spans="2:25" ht="20.25" customHeight="1" x14ac:dyDescent="0.35">
      <c r="B110" s="63">
        <v>62</v>
      </c>
      <c r="C110" s="39">
        <f>E12</f>
        <v>0</v>
      </c>
      <c r="D110" s="38">
        <f t="shared" si="37"/>
        <v>14.882963043726562</v>
      </c>
      <c r="E110" s="39">
        <f t="shared" si="30"/>
        <v>0</v>
      </c>
      <c r="F110" s="40">
        <f t="shared" si="31"/>
        <v>21109.459962418965</v>
      </c>
      <c r="G110" s="40">
        <f t="shared" si="32"/>
        <v>2638.6824953023706</v>
      </c>
      <c r="H110" s="360">
        <f t="shared" si="20"/>
        <v>10000000.000000002</v>
      </c>
      <c r="I110" s="365"/>
      <c r="J110" s="362">
        <f t="shared" si="33"/>
        <v>64340.301100034303</v>
      </c>
      <c r="K110" s="361"/>
      <c r="L110" s="360">
        <f t="shared" si="39"/>
        <v>20074.173943210702</v>
      </c>
      <c r="M110" s="361"/>
      <c r="N110" s="358">
        <f t="shared" si="35"/>
        <v>10000000</v>
      </c>
      <c r="O110" s="359"/>
      <c r="P110" s="9">
        <f t="shared" si="24"/>
        <v>5</v>
      </c>
      <c r="R110" s="40">
        <f t="shared" si="25"/>
        <v>4323.0841137615334</v>
      </c>
      <c r="S110" s="35">
        <f t="shared" si="40"/>
        <v>671909.213952875</v>
      </c>
      <c r="T110" s="36">
        <f t="shared" si="27"/>
        <v>64340.301100034303</v>
      </c>
      <c r="V110"/>
      <c r="W110"/>
      <c r="X110" s="9">
        <v>62</v>
      </c>
      <c r="Y110" s="6">
        <v>6</v>
      </c>
    </row>
    <row r="111" spans="2:25" ht="20.25" customHeight="1" x14ac:dyDescent="0.35">
      <c r="B111" s="60">
        <v>63</v>
      </c>
      <c r="C111" s="34">
        <f>E13</f>
        <v>0</v>
      </c>
      <c r="D111" s="38">
        <f t="shared" si="37"/>
        <v>14.978720476075967</v>
      </c>
      <c r="E111" s="34">
        <f t="shared" si="30"/>
        <v>0</v>
      </c>
      <c r="F111" s="15">
        <f t="shared" si="31"/>
        <v>21385.830320772002</v>
      </c>
      <c r="G111" s="15">
        <f t="shared" si="32"/>
        <v>2673.2287900965002</v>
      </c>
      <c r="H111" s="363">
        <f t="shared" si="20"/>
        <v>10000000.000000002</v>
      </c>
      <c r="I111" s="364"/>
      <c r="J111" s="464">
        <f t="shared" si="33"/>
        <v>64340.301100034303</v>
      </c>
      <c r="K111" s="465"/>
      <c r="L111" s="468">
        <f t="shared" si="39"/>
        <v>20074.173943210702</v>
      </c>
      <c r="M111" s="465"/>
      <c r="N111" s="471">
        <f t="shared" si="35"/>
        <v>10000000</v>
      </c>
      <c r="O111" s="472"/>
      <c r="P111" s="9">
        <f t="shared" si="24"/>
        <v>5</v>
      </c>
      <c r="R111" s="40">
        <f t="shared" si="25"/>
        <v>4295.4470779262301</v>
      </c>
      <c r="S111" s="35">
        <f t="shared" si="40"/>
        <v>667613.76687494875</v>
      </c>
      <c r="T111" s="36">
        <f t="shared" si="27"/>
        <v>64340.301100034303</v>
      </c>
      <c r="V111"/>
      <c r="W111"/>
      <c r="X111" s="9">
        <v>63</v>
      </c>
      <c r="Y111" s="6">
        <v>6</v>
      </c>
    </row>
    <row r="112" spans="2:25" ht="20.25" customHeight="1" x14ac:dyDescent="0.35">
      <c r="B112" s="63">
        <v>64</v>
      </c>
      <c r="C112" s="39">
        <f t="shared" si="38"/>
        <v>64340.301100034303</v>
      </c>
      <c r="D112" s="38">
        <f t="shared" si="37"/>
        <v>15.075094014628364</v>
      </c>
      <c r="E112" s="39">
        <f t="shared" si="30"/>
        <v>0</v>
      </c>
      <c r="F112" s="40">
        <f t="shared" si="31"/>
        <v>21660.433871610625</v>
      </c>
      <c r="G112" s="40">
        <f t="shared" si="32"/>
        <v>2707.5542339513281</v>
      </c>
      <c r="H112" s="360">
        <f t="shared" si="20"/>
        <v>10000000.000000002</v>
      </c>
      <c r="I112" s="365"/>
      <c r="J112" s="362">
        <f t="shared" si="33"/>
        <v>64340.301100034303</v>
      </c>
      <c r="K112" s="361"/>
      <c r="L112" s="360">
        <f t="shared" si="39"/>
        <v>20074.173943210702</v>
      </c>
      <c r="M112" s="361"/>
      <c r="N112" s="358">
        <f t="shared" si="35"/>
        <v>10000000</v>
      </c>
      <c r="O112" s="359"/>
      <c r="P112" s="9">
        <f t="shared" si="24"/>
        <v>5</v>
      </c>
      <c r="R112" s="40">
        <f t="shared" si="25"/>
        <v>4267.9867228423673</v>
      </c>
      <c r="S112" s="35">
        <f t="shared" si="40"/>
        <v>663345.78015210642</v>
      </c>
      <c r="T112" s="36">
        <f t="shared" si="27"/>
        <v>64340.301100034303</v>
      </c>
      <c r="V112"/>
      <c r="W112"/>
      <c r="X112" s="9">
        <v>64</v>
      </c>
      <c r="Y112" s="6">
        <v>6</v>
      </c>
    </row>
    <row r="113" spans="1:25" ht="20.25" customHeight="1" x14ac:dyDescent="0.35">
      <c r="B113" s="60">
        <v>65</v>
      </c>
      <c r="C113" s="34">
        <f t="shared" si="38"/>
        <v>64340.301100034303</v>
      </c>
      <c r="D113" s="38">
        <f t="shared" si="37"/>
        <v>15.172087623429615</v>
      </c>
      <c r="E113" s="34">
        <f t="shared" si="30"/>
        <v>0</v>
      </c>
      <c r="F113" s="15">
        <f t="shared" si="31"/>
        <v>21933.281909955091</v>
      </c>
      <c r="G113" s="15">
        <f t="shared" si="32"/>
        <v>2741.6602387443863</v>
      </c>
      <c r="H113" s="363">
        <f t="shared" ref="H113:H176" si="41">S113*D113</f>
        <v>10000000.000000002</v>
      </c>
      <c r="I113" s="364"/>
      <c r="J113" s="464">
        <f t="shared" si="33"/>
        <v>64340.301100034303</v>
      </c>
      <c r="K113" s="465"/>
      <c r="L113" s="468">
        <f t="shared" si="39"/>
        <v>20074.173943210702</v>
      </c>
      <c r="M113" s="465"/>
      <c r="N113" s="471">
        <f t="shared" si="35"/>
        <v>10000000</v>
      </c>
      <c r="O113" s="472"/>
      <c r="P113" s="9">
        <f t="shared" ref="P113:P176" si="42">ROUNDUP(B113/12,0) - 1</f>
        <v>5</v>
      </c>
      <c r="R113" s="40">
        <f t="shared" ref="R113:R176" si="43">IF($X$16/D113&gt;S112,S112,$X$16/D113)</f>
        <v>4240.7019190079218</v>
      </c>
      <c r="S113" s="35">
        <f t="shared" si="40"/>
        <v>659105.07823309849</v>
      </c>
      <c r="T113" s="36">
        <f t="shared" ref="T113:T176" si="44">IF($X$16/D113&gt;S112,S112*D113,$X$16)</f>
        <v>64340.301100034303</v>
      </c>
      <c r="V113"/>
      <c r="W113"/>
      <c r="X113" s="9">
        <v>65</v>
      </c>
      <c r="Y113" s="6">
        <v>6</v>
      </c>
    </row>
    <row r="114" spans="1:25" ht="20.25" customHeight="1" x14ac:dyDescent="0.35">
      <c r="B114" s="63">
        <v>66</v>
      </c>
      <c r="C114" s="39">
        <f t="shared" si="38"/>
        <v>64340.301100034303</v>
      </c>
      <c r="D114" s="38">
        <f t="shared" si="37"/>
        <v>15.269705292030372</v>
      </c>
      <c r="E114" s="39">
        <f t="shared" ref="E114:E177" si="45">IF(AND(OR($N$5="Other",$N$5="Debt"), B114&lt;24),R114*(D114-10), IF(AND($N$5="Equity", B114&lt;12),R114*(D114-10), 0))</f>
        <v>0</v>
      </c>
      <c r="F114" s="40">
        <f t="shared" ref="F114:F177" si="46">IF(AND(OR($N$5="Other",$N$5="Debt"), B114&gt;=24),R114*(D114-10), IF(AND($N$5="Equity", B114&gt;=12),R114*(D114-10),0))</f>
        <v>22204.385658617721</v>
      </c>
      <c r="G114" s="40">
        <f t="shared" ref="G114:G177" si="47">IF(AND($N$5="Equity", B114&lt; 12), E114*20%, IF(AND($N$5="Equity", B114&gt;= 12),F114*12.5%, IF(AND($N$5="Other", B114&lt;24),E114*$H$8, IF(AND($N$5="Other", B114&gt;=24),F114*12.5%,F114*$H$8))))</f>
        <v>2775.5482073272151</v>
      </c>
      <c r="H114" s="360">
        <f t="shared" si="41"/>
        <v>10000000.000000002</v>
      </c>
      <c r="I114" s="365"/>
      <c r="J114" s="362">
        <f t="shared" si="33"/>
        <v>64340.301100034303</v>
      </c>
      <c r="K114" s="361"/>
      <c r="L114" s="360">
        <f t="shared" si="39"/>
        <v>20074.173943210702</v>
      </c>
      <c r="M114" s="361"/>
      <c r="N114" s="358">
        <f t="shared" si="35"/>
        <v>10000000</v>
      </c>
      <c r="O114" s="359"/>
      <c r="P114" s="9">
        <f t="shared" si="42"/>
        <v>5</v>
      </c>
      <c r="R114" s="40">
        <f t="shared" si="43"/>
        <v>4213.5915441416582</v>
      </c>
      <c r="S114" s="35">
        <f t="shared" si="40"/>
        <v>654891.48668895685</v>
      </c>
      <c r="T114" s="36">
        <f t="shared" si="44"/>
        <v>64340.301100034303</v>
      </c>
      <c r="V114"/>
      <c r="W114"/>
      <c r="X114" s="9">
        <v>66</v>
      </c>
      <c r="Y114" s="6">
        <v>6</v>
      </c>
    </row>
    <row r="115" spans="1:25" ht="20.25" customHeight="1" x14ac:dyDescent="0.35">
      <c r="B115" s="60">
        <v>67</v>
      </c>
      <c r="C115" s="34">
        <f t="shared" si="38"/>
        <v>64340.301100034303</v>
      </c>
      <c r="D115" s="38">
        <f t="shared" si="37"/>
        <v>15.367951035650174</v>
      </c>
      <c r="E115" s="34">
        <f t="shared" si="45"/>
        <v>0</v>
      </c>
      <c r="F115" s="15">
        <f t="shared" si="46"/>
        <v>22473.756268664562</v>
      </c>
      <c r="G115" s="15">
        <f t="shared" si="47"/>
        <v>2809.2195335830702</v>
      </c>
      <c r="H115" s="363">
        <f t="shared" si="41"/>
        <v>10000000.000000002</v>
      </c>
      <c r="I115" s="364"/>
      <c r="J115" s="464">
        <f t="shared" si="33"/>
        <v>64340.301100034303</v>
      </c>
      <c r="K115" s="465"/>
      <c r="L115" s="468">
        <f t="shared" si="39"/>
        <v>20074.173943210702</v>
      </c>
      <c r="M115" s="465"/>
      <c r="N115" s="471">
        <f t="shared" si="35"/>
        <v>10000000</v>
      </c>
      <c r="O115" s="472"/>
      <c r="P115" s="9">
        <f t="shared" si="42"/>
        <v>5</v>
      </c>
      <c r="R115" s="40">
        <f t="shared" si="43"/>
        <v>4186.6544831369738</v>
      </c>
      <c r="S115" s="35">
        <f t="shared" si="40"/>
        <v>650704.8322058199</v>
      </c>
      <c r="T115" s="36">
        <f t="shared" si="44"/>
        <v>64340.301100034303</v>
      </c>
      <c r="V115"/>
      <c r="W115"/>
      <c r="X115" s="9">
        <v>67</v>
      </c>
      <c r="Y115" s="6">
        <v>6</v>
      </c>
    </row>
    <row r="116" spans="1:25" ht="20.25" customHeight="1" x14ac:dyDescent="0.35">
      <c r="B116" s="63">
        <v>68</v>
      </c>
      <c r="C116" s="39">
        <f t="shared" si="38"/>
        <v>64340.301100034303</v>
      </c>
      <c r="D116" s="38">
        <f t="shared" si="37"/>
        <v>15.466828895342605</v>
      </c>
      <c r="E116" s="39">
        <f t="shared" si="45"/>
        <v>0</v>
      </c>
      <c r="F116" s="40">
        <f t="shared" si="46"/>
        <v>22741.40481987402</v>
      </c>
      <c r="G116" s="40">
        <f t="shared" si="47"/>
        <v>2842.6756024842525</v>
      </c>
      <c r="H116" s="360">
        <f t="shared" si="41"/>
        <v>10000000.000000002</v>
      </c>
      <c r="I116" s="365"/>
      <c r="J116" s="362">
        <f t="shared" si="33"/>
        <v>64340.301100034303</v>
      </c>
      <c r="K116" s="361"/>
      <c r="L116" s="360">
        <f t="shared" si="39"/>
        <v>20074.173943210702</v>
      </c>
      <c r="M116" s="361"/>
      <c r="N116" s="358">
        <f t="shared" si="35"/>
        <v>10000000</v>
      </c>
      <c r="O116" s="359"/>
      <c r="P116" s="9">
        <f t="shared" si="42"/>
        <v>5</v>
      </c>
      <c r="R116" s="40">
        <f t="shared" si="43"/>
        <v>4159.8896280160279</v>
      </c>
      <c r="S116" s="35">
        <f t="shared" si="40"/>
        <v>646544.94257780386</v>
      </c>
      <c r="T116" s="36">
        <f t="shared" si="44"/>
        <v>64340.301100034303</v>
      </c>
      <c r="V116"/>
      <c r="W116"/>
      <c r="X116" s="9">
        <v>68</v>
      </c>
      <c r="Y116" s="6">
        <v>6</v>
      </c>
    </row>
    <row r="117" spans="1:25" ht="20.25" customHeight="1" x14ac:dyDescent="0.35">
      <c r="B117" s="60">
        <v>69</v>
      </c>
      <c r="C117" s="34">
        <f t="shared" si="38"/>
        <v>64340.301100034303</v>
      </c>
      <c r="D117" s="38">
        <f t="shared" si="37"/>
        <v>15.56634293816151</v>
      </c>
      <c r="E117" s="34">
        <f t="shared" si="45"/>
        <v>0</v>
      </c>
      <c r="F117" s="15">
        <f t="shared" si="46"/>
        <v>23007.34232119262</v>
      </c>
      <c r="G117" s="15">
        <f t="shared" si="47"/>
        <v>2875.9177901490775</v>
      </c>
      <c r="H117" s="363">
        <f t="shared" si="41"/>
        <v>10000000.000000002</v>
      </c>
      <c r="I117" s="364"/>
      <c r="J117" s="464">
        <f t="shared" si="33"/>
        <v>64340.301100034303</v>
      </c>
      <c r="K117" s="465"/>
      <c r="L117" s="468">
        <f t="shared" si="39"/>
        <v>20074.173943210702</v>
      </c>
      <c r="M117" s="465"/>
      <c r="N117" s="471">
        <f t="shared" si="35"/>
        <v>10000000</v>
      </c>
      <c r="O117" s="472"/>
      <c r="P117" s="9">
        <f t="shared" si="42"/>
        <v>5</v>
      </c>
      <c r="R117" s="40">
        <f t="shared" si="43"/>
        <v>4133.2958778841685</v>
      </c>
      <c r="S117" s="35">
        <f t="shared" si="40"/>
        <v>642411.64669991971</v>
      </c>
      <c r="T117" s="36">
        <f t="shared" si="44"/>
        <v>64340.301100034303</v>
      </c>
      <c r="V117"/>
      <c r="W117"/>
      <c r="X117" s="9">
        <v>69</v>
      </c>
      <c r="Y117" s="6">
        <v>6</v>
      </c>
    </row>
    <row r="118" spans="1:25" ht="20.25" customHeight="1" x14ac:dyDescent="0.35">
      <c r="B118" s="63">
        <v>70</v>
      </c>
      <c r="C118" s="39">
        <f t="shared" si="38"/>
        <v>64340.301100034303</v>
      </c>
      <c r="D118" s="38">
        <f t="shared" si="37"/>
        <v>15.666497257328281</v>
      </c>
      <c r="E118" s="39">
        <f t="shared" si="45"/>
        <v>0</v>
      </c>
      <c r="F118" s="40">
        <f t="shared" si="46"/>
        <v>23271.579711187798</v>
      </c>
      <c r="G118" s="40">
        <f t="shared" si="47"/>
        <v>2908.9474638984748</v>
      </c>
      <c r="H118" s="360">
        <f t="shared" si="41"/>
        <v>10000000.000000004</v>
      </c>
      <c r="I118" s="365"/>
      <c r="J118" s="362">
        <f t="shared" si="33"/>
        <v>64340.301100034303</v>
      </c>
      <c r="K118" s="361"/>
      <c r="L118" s="360">
        <f t="shared" si="39"/>
        <v>20074.173943210702</v>
      </c>
      <c r="M118" s="361"/>
      <c r="N118" s="358">
        <f t="shared" si="35"/>
        <v>10000000</v>
      </c>
      <c r="O118" s="359"/>
      <c r="P118" s="9">
        <f t="shared" si="42"/>
        <v>5</v>
      </c>
      <c r="R118" s="40">
        <f t="shared" si="43"/>
        <v>4106.8721388846498</v>
      </c>
      <c r="S118" s="35">
        <f t="shared" si="40"/>
        <v>638304.7745610351</v>
      </c>
      <c r="T118" s="36">
        <f t="shared" si="44"/>
        <v>64340.301100034303</v>
      </c>
      <c r="V118"/>
      <c r="W118"/>
      <c r="X118" s="9">
        <v>70</v>
      </c>
      <c r="Y118" s="6">
        <v>6</v>
      </c>
    </row>
    <row r="119" spans="1:25" ht="20.25" customHeight="1" x14ac:dyDescent="0.35">
      <c r="A119" s="195" t="s">
        <v>360</v>
      </c>
      <c r="B119" s="60">
        <v>71</v>
      </c>
      <c r="C119" s="34">
        <f t="shared" si="38"/>
        <v>64340.301100034303</v>
      </c>
      <c r="D119" s="38">
        <f t="shared" si="37"/>
        <v>15.767295972400218</v>
      </c>
      <c r="E119" s="34">
        <f t="shared" si="45"/>
        <v>0</v>
      </c>
      <c r="F119" s="15">
        <f t="shared" si="46"/>
        <v>23534.127858497865</v>
      </c>
      <c r="G119" s="15">
        <f t="shared" si="47"/>
        <v>2941.7659823122331</v>
      </c>
      <c r="H119" s="363">
        <f t="shared" si="41"/>
        <v>10000000.000000004</v>
      </c>
      <c r="I119" s="364"/>
      <c r="J119" s="362">
        <f t="shared" si="33"/>
        <v>64340.301100034303</v>
      </c>
      <c r="K119" s="361"/>
      <c r="L119" s="360">
        <f t="shared" si="39"/>
        <v>20074.173943210702</v>
      </c>
      <c r="M119" s="361"/>
      <c r="N119" s="358">
        <f t="shared" si="35"/>
        <v>10000000</v>
      </c>
      <c r="O119" s="359"/>
      <c r="P119" s="9">
        <f t="shared" si="42"/>
        <v>5</v>
      </c>
      <c r="R119" s="40">
        <f t="shared" si="43"/>
        <v>4080.6173241536439</v>
      </c>
      <c r="S119" s="35">
        <f t="shared" si="40"/>
        <v>634224.15723688144</v>
      </c>
      <c r="T119" s="36">
        <f t="shared" si="44"/>
        <v>64340.301100034303</v>
      </c>
      <c r="V119"/>
      <c r="W119"/>
      <c r="X119" s="9">
        <v>71</v>
      </c>
      <c r="Y119" s="6">
        <v>6</v>
      </c>
    </row>
    <row r="120" spans="1:25" ht="20.25" customHeight="1" x14ac:dyDescent="0.35">
      <c r="A120" s="195" t="s">
        <v>361</v>
      </c>
      <c r="B120" s="63">
        <v>72</v>
      </c>
      <c r="C120" s="39">
        <f t="shared" si="38"/>
        <v>64340.301100034303</v>
      </c>
      <c r="D120" s="38">
        <f t="shared" si="37"/>
        <v>15.868743229439977</v>
      </c>
      <c r="E120" s="39">
        <f t="shared" si="45"/>
        <v>0</v>
      </c>
      <c r="F120" s="40">
        <f t="shared" si="46"/>
        <v>23794.997562279012</v>
      </c>
      <c r="G120" s="40">
        <f t="shared" si="47"/>
        <v>2974.3746952848765</v>
      </c>
      <c r="H120" s="360">
        <f t="shared" si="41"/>
        <v>10000000.000000004</v>
      </c>
      <c r="I120" s="365"/>
      <c r="J120" s="362">
        <f t="shared" si="33"/>
        <v>64340.301100034303</v>
      </c>
      <c r="K120" s="361"/>
      <c r="L120" s="360">
        <f t="shared" si="39"/>
        <v>20074.173943210702</v>
      </c>
      <c r="M120" s="361"/>
      <c r="N120" s="358">
        <f t="shared" si="35"/>
        <v>10000000</v>
      </c>
      <c r="O120" s="359"/>
      <c r="P120" s="9">
        <f t="shared" si="42"/>
        <v>5</v>
      </c>
      <c r="R120" s="40">
        <f t="shared" si="43"/>
        <v>4054.5303537755294</v>
      </c>
      <c r="S120" s="35">
        <f t="shared" si="40"/>
        <v>630169.62688310596</v>
      </c>
      <c r="T120" s="36">
        <f t="shared" si="44"/>
        <v>64340.301100034303</v>
      </c>
      <c r="V120"/>
      <c r="W120"/>
      <c r="X120" s="9">
        <v>72</v>
      </c>
      <c r="Y120" s="6">
        <v>6</v>
      </c>
    </row>
    <row r="121" spans="1:25" ht="20.25" customHeight="1" x14ac:dyDescent="0.35">
      <c r="A121" s="195" t="s">
        <v>360</v>
      </c>
      <c r="B121" s="60">
        <v>73</v>
      </c>
      <c r="C121" s="34">
        <f t="shared" si="38"/>
        <v>64340.301100034303</v>
      </c>
      <c r="D121" s="38">
        <f t="shared" si="37"/>
        <v>15.970843201186106</v>
      </c>
      <c r="E121" s="34">
        <f t="shared" si="45"/>
        <v>0</v>
      </c>
      <c r="F121" s="15">
        <f t="shared" si="46"/>
        <v>24054.199552649541</v>
      </c>
      <c r="G121" s="15">
        <f t="shared" si="47"/>
        <v>3006.7749440811926</v>
      </c>
      <c r="H121" s="363">
        <f t="shared" si="41"/>
        <v>10000000.000000004</v>
      </c>
      <c r="I121" s="364"/>
      <c r="J121" s="362">
        <f t="shared" si="33"/>
        <v>64340.301100034303</v>
      </c>
      <c r="K121" s="361"/>
      <c r="L121" s="360">
        <f t="shared" si="39"/>
        <v>20074.173943210702</v>
      </c>
      <c r="M121" s="361"/>
      <c r="N121" s="358">
        <f t="shared" si="35"/>
        <v>10000000</v>
      </c>
      <c r="O121" s="359"/>
      <c r="P121" s="9">
        <f t="shared" si="42"/>
        <v>6</v>
      </c>
      <c r="R121" s="40">
        <f t="shared" si="43"/>
        <v>4028.6101547384765</v>
      </c>
      <c r="S121" s="35">
        <f t="shared" si="40"/>
        <v>626141.01672836742</v>
      </c>
      <c r="T121" s="36">
        <f t="shared" si="44"/>
        <v>64340.301100034303</v>
      </c>
      <c r="V121"/>
      <c r="W121"/>
      <c r="X121" s="9">
        <v>73</v>
      </c>
      <c r="Y121" s="6">
        <v>7</v>
      </c>
    </row>
    <row r="122" spans="1:25" ht="20.25" customHeight="1" x14ac:dyDescent="0.35">
      <c r="A122" s="195" t="s">
        <v>361</v>
      </c>
      <c r="B122" s="63">
        <v>74</v>
      </c>
      <c r="C122" s="39">
        <f t="shared" si="38"/>
        <v>64340.301100034303</v>
      </c>
      <c r="D122" s="38">
        <f t="shared" si="37"/>
        <v>16.07360008722468</v>
      </c>
      <c r="E122" s="39">
        <f t="shared" si="45"/>
        <v>0</v>
      </c>
      <c r="F122" s="40">
        <f t="shared" si="46"/>
        <v>24311.744491131194</v>
      </c>
      <c r="G122" s="40">
        <f t="shared" si="47"/>
        <v>3038.9680613913993</v>
      </c>
      <c r="H122" s="360">
        <f t="shared" si="41"/>
        <v>10000000.000000002</v>
      </c>
      <c r="I122" s="365"/>
      <c r="J122" s="362">
        <f t="shared" si="33"/>
        <v>64340.301100034303</v>
      </c>
      <c r="K122" s="361"/>
      <c r="L122" s="360">
        <f t="shared" si="39"/>
        <v>20074.173943210702</v>
      </c>
      <c r="M122" s="361"/>
      <c r="N122" s="358">
        <f t="shared" si="35"/>
        <v>10000000</v>
      </c>
      <c r="O122" s="359"/>
      <c r="P122" s="9">
        <f t="shared" si="42"/>
        <v>6</v>
      </c>
      <c r="R122" s="40">
        <f t="shared" si="43"/>
        <v>4002.8556608903109</v>
      </c>
      <c r="S122" s="35">
        <f t="shared" si="40"/>
        <v>622138.16106747708</v>
      </c>
      <c r="T122" s="36">
        <f t="shared" si="44"/>
        <v>64340.301100034303</v>
      </c>
      <c r="V122"/>
      <c r="W122"/>
      <c r="X122" s="9">
        <v>74</v>
      </c>
      <c r="Y122" s="6">
        <v>7</v>
      </c>
    </row>
    <row r="123" spans="1:25" ht="20.25" customHeight="1" x14ac:dyDescent="0.35">
      <c r="A123" s="195" t="s">
        <v>360</v>
      </c>
      <c r="B123" s="60">
        <v>75</v>
      </c>
      <c r="C123" s="34">
        <f t="shared" si="38"/>
        <v>64340.301100034303</v>
      </c>
      <c r="D123" s="38">
        <f t="shared" si="37"/>
        <v>16.177018114162038</v>
      </c>
      <c r="E123" s="34">
        <f t="shared" si="45"/>
        <v>0</v>
      </c>
      <c r="F123" s="15">
        <f t="shared" si="46"/>
        <v>24567.642971087713</v>
      </c>
      <c r="G123" s="15">
        <f t="shared" si="47"/>
        <v>3070.9553713859641</v>
      </c>
      <c r="H123" s="363">
        <f t="shared" si="41"/>
        <v>10000000.000000002</v>
      </c>
      <c r="I123" s="364"/>
      <c r="J123" s="362">
        <f t="shared" si="33"/>
        <v>64340.301100034303</v>
      </c>
      <c r="K123" s="361"/>
      <c r="L123" s="360">
        <f t="shared" si="39"/>
        <v>20074.173943210702</v>
      </c>
      <c r="M123" s="361"/>
      <c r="N123" s="358">
        <f t="shared" si="35"/>
        <v>10000000</v>
      </c>
      <c r="O123" s="359"/>
      <c r="P123" s="9">
        <f t="shared" si="42"/>
        <v>6</v>
      </c>
      <c r="R123" s="40">
        <f t="shared" si="43"/>
        <v>3977.2658128946591</v>
      </c>
      <c r="S123" s="35">
        <f t="shared" si="40"/>
        <v>618160.8952545824</v>
      </c>
      <c r="T123" s="36">
        <f t="shared" si="44"/>
        <v>64340.301100034303</v>
      </c>
      <c r="V123"/>
      <c r="W123"/>
      <c r="X123" s="9">
        <v>75</v>
      </c>
      <c r="Y123" s="6">
        <v>7</v>
      </c>
    </row>
    <row r="124" spans="1:25" ht="20.25" customHeight="1" x14ac:dyDescent="0.35">
      <c r="A124" s="195" t="s">
        <v>361</v>
      </c>
      <c r="B124" s="63">
        <v>76</v>
      </c>
      <c r="C124" s="39">
        <f t="shared" si="38"/>
        <v>64340.301100034303</v>
      </c>
      <c r="D124" s="38">
        <f t="shared" si="37"/>
        <v>16.281101535798626</v>
      </c>
      <c r="E124" s="39">
        <f t="shared" si="45"/>
        <v>0</v>
      </c>
      <c r="F124" s="40">
        <f t="shared" si="46"/>
        <v>24821.905518160514</v>
      </c>
      <c r="G124" s="40">
        <f t="shared" si="47"/>
        <v>3102.7381897700643</v>
      </c>
      <c r="H124" s="360">
        <f t="shared" si="41"/>
        <v>10000000</v>
      </c>
      <c r="I124" s="365"/>
      <c r="J124" s="362">
        <f t="shared" si="33"/>
        <v>64340.301100034303</v>
      </c>
      <c r="K124" s="361"/>
      <c r="L124" s="360">
        <f t="shared" si="39"/>
        <v>20074.173943210702</v>
      </c>
      <c r="M124" s="361"/>
      <c r="N124" s="358">
        <f t="shared" si="35"/>
        <v>10000000</v>
      </c>
      <c r="O124" s="359"/>
      <c r="P124" s="9">
        <f t="shared" si="42"/>
        <v>6</v>
      </c>
      <c r="R124" s="40">
        <f t="shared" si="43"/>
        <v>3951.8395581873792</v>
      </c>
      <c r="S124" s="35">
        <f t="shared" si="40"/>
        <v>614209.05569639499</v>
      </c>
      <c r="T124" s="36">
        <f t="shared" si="44"/>
        <v>64340.301100034303</v>
      </c>
      <c r="V124"/>
      <c r="W124"/>
      <c r="X124" s="9">
        <v>76</v>
      </c>
      <c r="Y124" s="6">
        <v>7</v>
      </c>
    </row>
    <row r="125" spans="1:25" ht="20.25" customHeight="1" x14ac:dyDescent="0.35">
      <c r="A125" s="195" t="s">
        <v>360</v>
      </c>
      <c r="B125" s="60">
        <v>77</v>
      </c>
      <c r="C125" s="34">
        <f t="shared" si="38"/>
        <v>64340.301100034303</v>
      </c>
      <c r="D125" s="38">
        <f t="shared" si="37"/>
        <v>16.385854633303978</v>
      </c>
      <c r="E125" s="34">
        <f t="shared" si="45"/>
        <v>0</v>
      </c>
      <c r="F125" s="15">
        <f t="shared" si="46"/>
        <v>25074.542590701683</v>
      </c>
      <c r="G125" s="15">
        <f t="shared" si="47"/>
        <v>3134.3178238377104</v>
      </c>
      <c r="H125" s="363">
        <f t="shared" si="41"/>
        <v>10000000.000000002</v>
      </c>
      <c r="I125" s="364"/>
      <c r="J125" s="362">
        <f t="shared" si="33"/>
        <v>64340.301100034303</v>
      </c>
      <c r="K125" s="361"/>
      <c r="L125" s="360">
        <f t="shared" si="39"/>
        <v>20074.173943210702</v>
      </c>
      <c r="M125" s="361"/>
      <c r="N125" s="358">
        <f t="shared" si="35"/>
        <v>10000000</v>
      </c>
      <c r="O125" s="359"/>
      <c r="P125" s="9">
        <f t="shared" si="42"/>
        <v>6</v>
      </c>
      <c r="R125" s="40">
        <f t="shared" si="43"/>
        <v>3926.5758509332622</v>
      </c>
      <c r="S125" s="35">
        <f t="shared" si="40"/>
        <v>610282.47984546178</v>
      </c>
      <c r="T125" s="36">
        <f t="shared" si="44"/>
        <v>64340.301100034303</v>
      </c>
      <c r="V125"/>
      <c r="W125"/>
      <c r="X125" s="9">
        <v>77</v>
      </c>
      <c r="Y125" s="6">
        <v>7</v>
      </c>
    </row>
    <row r="126" spans="1:25" ht="20.25" customHeight="1" x14ac:dyDescent="0.35">
      <c r="A126" s="195" t="s">
        <v>361</v>
      </c>
      <c r="B126" s="63">
        <v>78</v>
      </c>
      <c r="C126" s="39">
        <f t="shared" si="38"/>
        <v>64340.301100034303</v>
      </c>
      <c r="D126" s="38">
        <f t="shared" si="37"/>
        <v>16.491281715392795</v>
      </c>
      <c r="E126" s="39">
        <f t="shared" si="45"/>
        <v>0</v>
      </c>
      <c r="F126" s="40">
        <f t="shared" si="46"/>
        <v>25325.564580204118</v>
      </c>
      <c r="G126" s="40">
        <f t="shared" si="47"/>
        <v>3165.6955725255148</v>
      </c>
      <c r="H126" s="360">
        <f t="shared" si="41"/>
        <v>10000000.000000002</v>
      </c>
      <c r="I126" s="365"/>
      <c r="J126" s="362">
        <f t="shared" si="33"/>
        <v>64340.301100034303</v>
      </c>
      <c r="K126" s="361"/>
      <c r="L126" s="360">
        <f t="shared" si="39"/>
        <v>20074.173943210702</v>
      </c>
      <c r="M126" s="361"/>
      <c r="N126" s="358">
        <f t="shared" si="35"/>
        <v>10000000</v>
      </c>
      <c r="O126" s="359"/>
      <c r="P126" s="9">
        <f t="shared" si="42"/>
        <v>6</v>
      </c>
      <c r="R126" s="40">
        <f t="shared" si="43"/>
        <v>3901.4736519830185</v>
      </c>
      <c r="S126" s="35">
        <f t="shared" si="40"/>
        <v>606381.00619347882</v>
      </c>
      <c r="T126" s="36">
        <f t="shared" si="44"/>
        <v>64340.301100034303</v>
      </c>
      <c r="V126"/>
      <c r="W126"/>
      <c r="X126" s="9">
        <v>78</v>
      </c>
      <c r="Y126" s="6">
        <v>7</v>
      </c>
    </row>
    <row r="127" spans="1:25" ht="20.25" customHeight="1" x14ac:dyDescent="0.35">
      <c r="A127" s="195" t="s">
        <v>360</v>
      </c>
      <c r="B127" s="60">
        <v>79</v>
      </c>
      <c r="C127" s="34">
        <f t="shared" si="38"/>
        <v>64340.301100034303</v>
      </c>
      <c r="D127" s="38">
        <f t="shared" si="37"/>
        <v>16.59738711850218</v>
      </c>
      <c r="E127" s="34">
        <f t="shared" si="45"/>
        <v>0</v>
      </c>
      <c r="F127" s="15">
        <f t="shared" si="46"/>
        <v>25574.981811728969</v>
      </c>
      <c r="G127" s="15">
        <f t="shared" si="47"/>
        <v>3196.8727264661211</v>
      </c>
      <c r="H127" s="363">
        <f t="shared" si="41"/>
        <v>10000000.000000002</v>
      </c>
      <c r="I127" s="364"/>
      <c r="J127" s="362">
        <f t="shared" si="33"/>
        <v>64340.301100034303</v>
      </c>
      <c r="K127" s="361"/>
      <c r="L127" s="360">
        <f t="shared" si="39"/>
        <v>20074.173943210702</v>
      </c>
      <c r="M127" s="361"/>
      <c r="N127" s="358">
        <f t="shared" si="35"/>
        <v>10000000</v>
      </c>
      <c r="O127" s="359"/>
      <c r="P127" s="9">
        <f t="shared" si="42"/>
        <v>6</v>
      </c>
      <c r="R127" s="40">
        <f t="shared" si="43"/>
        <v>3876.5319288305332</v>
      </c>
      <c r="S127" s="35">
        <f t="shared" si="40"/>
        <v>602504.47426464828</v>
      </c>
      <c r="T127" s="36">
        <f t="shared" si="44"/>
        <v>64340.301100034303</v>
      </c>
      <c r="V127"/>
      <c r="W127"/>
      <c r="X127" s="9">
        <v>79</v>
      </c>
      <c r="Y127" s="6">
        <v>7</v>
      </c>
    </row>
    <row r="128" spans="1:25" ht="20.25" customHeight="1" x14ac:dyDescent="0.35">
      <c r="A128" s="195" t="s">
        <v>361</v>
      </c>
      <c r="B128" s="63">
        <v>80</v>
      </c>
      <c r="C128" s="39">
        <f t="shared" si="38"/>
        <v>64340.301100034303</v>
      </c>
      <c r="D128" s="38">
        <f t="shared" si="37"/>
        <v>16.704175206970007</v>
      </c>
      <c r="E128" s="39">
        <f t="shared" si="45"/>
        <v>0</v>
      </c>
      <c r="F128" s="40">
        <f t="shared" si="46"/>
        <v>25822.804544330324</v>
      </c>
      <c r="G128" s="40">
        <f t="shared" si="47"/>
        <v>3227.8505680412904</v>
      </c>
      <c r="H128" s="360">
        <f t="shared" si="41"/>
        <v>10000000.000000002</v>
      </c>
      <c r="I128" s="365"/>
      <c r="J128" s="362">
        <f t="shared" si="33"/>
        <v>64340.301100034303</v>
      </c>
      <c r="K128" s="361"/>
      <c r="L128" s="360">
        <f t="shared" si="39"/>
        <v>20074.173943210702</v>
      </c>
      <c r="M128" s="361"/>
      <c r="N128" s="358">
        <f t="shared" si="35"/>
        <v>10000000</v>
      </c>
      <c r="O128" s="359"/>
      <c r="P128" s="9">
        <f t="shared" si="42"/>
        <v>6</v>
      </c>
      <c r="R128" s="40">
        <f t="shared" si="43"/>
        <v>3851.7496555703979</v>
      </c>
      <c r="S128" s="35">
        <f t="shared" si="40"/>
        <v>598652.72460907791</v>
      </c>
      <c r="T128" s="36">
        <f t="shared" si="44"/>
        <v>64340.301100034303</v>
      </c>
      <c r="V128"/>
      <c r="W128"/>
      <c r="X128" s="9">
        <v>80</v>
      </c>
      <c r="Y128" s="6">
        <v>7</v>
      </c>
    </row>
    <row r="129" spans="1:25" ht="20.25" customHeight="1" x14ac:dyDescent="0.35">
      <c r="A129" s="195" t="s">
        <v>360</v>
      </c>
      <c r="B129" s="60">
        <v>81</v>
      </c>
      <c r="C129" s="34">
        <f t="shared" si="38"/>
        <v>64340.301100034303</v>
      </c>
      <c r="D129" s="38">
        <f t="shared" si="37"/>
        <v>16.811650373214423</v>
      </c>
      <c r="E129" s="34">
        <f t="shared" si="45"/>
        <v>0</v>
      </c>
      <c r="F129" s="15">
        <f t="shared" si="46"/>
        <v>26069.042971477171</v>
      </c>
      <c r="G129" s="15">
        <f t="shared" si="47"/>
        <v>3258.6303714346463</v>
      </c>
      <c r="H129" s="363">
        <f t="shared" si="41"/>
        <v>10000000.000000002</v>
      </c>
      <c r="I129" s="364"/>
      <c r="J129" s="362">
        <f t="shared" si="33"/>
        <v>64340.301100034303</v>
      </c>
      <c r="K129" s="361"/>
      <c r="L129" s="360">
        <f t="shared" si="39"/>
        <v>20074.173943210702</v>
      </c>
      <c r="M129" s="361"/>
      <c r="N129" s="358">
        <f t="shared" si="35"/>
        <v>10000000</v>
      </c>
      <c r="O129" s="359"/>
      <c r="P129" s="9">
        <f t="shared" si="42"/>
        <v>6</v>
      </c>
      <c r="R129" s="40">
        <f t="shared" si="43"/>
        <v>3827.1258128557133</v>
      </c>
      <c r="S129" s="35">
        <f t="shared" si="40"/>
        <v>594825.59879622224</v>
      </c>
      <c r="T129" s="36">
        <f t="shared" si="44"/>
        <v>64340.301100034303</v>
      </c>
      <c r="V129"/>
      <c r="W129"/>
      <c r="X129" s="9">
        <v>81</v>
      </c>
      <c r="Y129" s="6">
        <v>7</v>
      </c>
    </row>
    <row r="130" spans="1:25" ht="20.25" customHeight="1" x14ac:dyDescent="0.35">
      <c r="A130" s="195" t="s">
        <v>361</v>
      </c>
      <c r="B130" s="63">
        <v>82</v>
      </c>
      <c r="C130" s="39">
        <f t="shared" si="38"/>
        <v>64340.301100034303</v>
      </c>
      <c r="D130" s="38">
        <f t="shared" si="37"/>
        <v>16.919817037914534</v>
      </c>
      <c r="E130" s="39">
        <f t="shared" si="45"/>
        <v>0</v>
      </c>
      <c r="F130" s="40">
        <f t="shared" si="46"/>
        <v>26313.707221472705</v>
      </c>
      <c r="G130" s="40">
        <f t="shared" si="47"/>
        <v>3289.2134026840881</v>
      </c>
      <c r="H130" s="360">
        <f t="shared" si="41"/>
        <v>10000000.000000002</v>
      </c>
      <c r="I130" s="365"/>
      <c r="J130" s="362">
        <f t="shared" si="33"/>
        <v>64340.301100034303</v>
      </c>
      <c r="K130" s="361"/>
      <c r="L130" s="360">
        <f t="shared" si="39"/>
        <v>20074.173943210702</v>
      </c>
      <c r="M130" s="361"/>
      <c r="N130" s="358">
        <f t="shared" si="35"/>
        <v>10000000</v>
      </c>
      <c r="O130" s="359"/>
      <c r="P130" s="9">
        <f t="shared" si="42"/>
        <v>6</v>
      </c>
      <c r="R130" s="40">
        <f t="shared" si="43"/>
        <v>3802.6593878561598</v>
      </c>
      <c r="S130" s="35">
        <f t="shared" si="40"/>
        <v>591022.9394083661</v>
      </c>
      <c r="T130" s="36">
        <f t="shared" si="44"/>
        <v>64340.301100034303</v>
      </c>
      <c r="V130"/>
      <c r="W130"/>
      <c r="X130" s="9">
        <v>82</v>
      </c>
      <c r="Y130" s="6">
        <v>7</v>
      </c>
    </row>
    <row r="131" spans="1:25" ht="20.25" customHeight="1" x14ac:dyDescent="0.35">
      <c r="A131" s="195" t="s">
        <v>360</v>
      </c>
      <c r="B131" s="60">
        <v>83</v>
      </c>
      <c r="C131" s="34">
        <f t="shared" si="38"/>
        <v>64340.301100034303</v>
      </c>
      <c r="D131" s="38">
        <f t="shared" si="37"/>
        <v>17.028679650192224</v>
      </c>
      <c r="E131" s="34">
        <f t="shared" si="45"/>
        <v>0</v>
      </c>
      <c r="F131" s="15">
        <f t="shared" si="46"/>
        <v>26556.807357870912</v>
      </c>
      <c r="G131" s="15">
        <f t="shared" si="47"/>
        <v>3319.600919733864</v>
      </c>
      <c r="H131" s="363">
        <f t="shared" si="41"/>
        <v>10000000.000000002</v>
      </c>
      <c r="I131" s="364"/>
      <c r="J131" s="362">
        <f t="shared" si="33"/>
        <v>64340.301100034303</v>
      </c>
      <c r="K131" s="361"/>
      <c r="L131" s="360">
        <f t="shared" si="39"/>
        <v>20074.173943210702</v>
      </c>
      <c r="M131" s="361"/>
      <c r="N131" s="358">
        <f t="shared" si="35"/>
        <v>10000000</v>
      </c>
      <c r="O131" s="359"/>
      <c r="P131" s="9">
        <f t="shared" si="42"/>
        <v>6</v>
      </c>
      <c r="R131" s="40">
        <f t="shared" si="43"/>
        <v>3778.3493742163396</v>
      </c>
      <c r="S131" s="35">
        <f t="shared" si="40"/>
        <v>587244.59003414982</v>
      </c>
      <c r="T131" s="36">
        <f t="shared" si="44"/>
        <v>64340.301100034303</v>
      </c>
      <c r="V131"/>
      <c r="W131"/>
      <c r="X131" s="9">
        <v>83</v>
      </c>
      <c r="Y131" s="6">
        <v>7</v>
      </c>
    </row>
    <row r="132" spans="1:25" ht="20.25" customHeight="1" x14ac:dyDescent="0.35">
      <c r="A132" s="195" t="s">
        <v>361</v>
      </c>
      <c r="B132" s="63">
        <v>84</v>
      </c>
      <c r="C132" s="39">
        <f t="shared" si="38"/>
        <v>64340.301100034303</v>
      </c>
      <c r="D132" s="38">
        <f t="shared" si="37"/>
        <v>17.138242687795163</v>
      </c>
      <c r="E132" s="39">
        <f t="shared" si="45"/>
        <v>0</v>
      </c>
      <c r="F132" s="40">
        <f t="shared" si="46"/>
        <v>26798.35337989049</v>
      </c>
      <c r="G132" s="40">
        <f t="shared" si="47"/>
        <v>3349.7941724863113</v>
      </c>
      <c r="H132" s="360">
        <f t="shared" si="41"/>
        <v>10000000.000000002</v>
      </c>
      <c r="I132" s="365"/>
      <c r="J132" s="362">
        <f t="shared" si="33"/>
        <v>64340.301100034303</v>
      </c>
      <c r="K132" s="361"/>
      <c r="L132" s="360">
        <f t="shared" si="39"/>
        <v>20074.173943210702</v>
      </c>
      <c r="M132" s="361"/>
      <c r="N132" s="358">
        <f t="shared" si="35"/>
        <v>10000000</v>
      </c>
      <c r="O132" s="359"/>
      <c r="P132" s="9">
        <f t="shared" si="42"/>
        <v>6</v>
      </c>
      <c r="R132" s="40">
        <f t="shared" si="43"/>
        <v>3754.1947720143817</v>
      </c>
      <c r="S132" s="35">
        <f t="shared" si="40"/>
        <v>583490.39526213543</v>
      </c>
      <c r="T132" s="36">
        <f t="shared" si="44"/>
        <v>64340.301100034303</v>
      </c>
      <c r="V132"/>
      <c r="W132"/>
      <c r="X132" s="9">
        <v>84</v>
      </c>
      <c r="Y132" s="6">
        <v>7</v>
      </c>
    </row>
    <row r="133" spans="1:25" ht="20.25" customHeight="1" x14ac:dyDescent="0.35">
      <c r="A133" s="195" t="s">
        <v>360</v>
      </c>
      <c r="B133" s="60">
        <v>85</v>
      </c>
      <c r="C133" s="34">
        <f t="shared" si="38"/>
        <v>64340.301100034303</v>
      </c>
      <c r="D133" s="38">
        <f t="shared" si="37"/>
        <v>17.248510657280985</v>
      </c>
      <c r="E133" s="34">
        <f t="shared" si="45"/>
        <v>0</v>
      </c>
      <c r="F133" s="15">
        <f t="shared" si="46"/>
        <v>27038.355222826165</v>
      </c>
      <c r="G133" s="15">
        <f t="shared" si="47"/>
        <v>3379.7944028532706</v>
      </c>
      <c r="H133" s="363">
        <f t="shared" si="41"/>
        <v>10000000.000000004</v>
      </c>
      <c r="I133" s="364"/>
      <c r="J133" s="362">
        <f t="shared" si="33"/>
        <v>64340.301100034303</v>
      </c>
      <c r="K133" s="361"/>
      <c r="L133" s="360">
        <f t="shared" si="39"/>
        <v>20074.173943210702</v>
      </c>
      <c r="M133" s="361"/>
      <c r="N133" s="358">
        <f t="shared" si="35"/>
        <v>10000000</v>
      </c>
      <c r="O133" s="359"/>
      <c r="P133" s="9">
        <f t="shared" si="42"/>
        <v>7</v>
      </c>
      <c r="R133" s="40">
        <f t="shared" si="43"/>
        <v>3730.1945877208136</v>
      </c>
      <c r="S133" s="35">
        <f t="shared" si="40"/>
        <v>579760.20067441463</v>
      </c>
      <c r="T133" s="36">
        <f t="shared" si="44"/>
        <v>64340.301100034303</v>
      </c>
      <c r="V133"/>
      <c r="W133"/>
      <c r="X133" s="9">
        <v>85</v>
      </c>
      <c r="Y133" s="6">
        <v>8</v>
      </c>
    </row>
    <row r="134" spans="1:25" ht="20.25" customHeight="1" x14ac:dyDescent="0.35">
      <c r="A134" s="195" t="s">
        <v>361</v>
      </c>
      <c r="B134" s="63">
        <v>86</v>
      </c>
      <c r="C134" s="39">
        <f t="shared" si="38"/>
        <v>64340.301100034303</v>
      </c>
      <c r="D134" s="38">
        <f t="shared" si="37"/>
        <v>17.359488094202646</v>
      </c>
      <c r="E134" s="39">
        <f t="shared" si="45"/>
        <v>0</v>
      </c>
      <c r="F134" s="40">
        <f t="shared" si="46"/>
        <v>27276.822758457336</v>
      </c>
      <c r="G134" s="40">
        <f t="shared" si="47"/>
        <v>3409.602844807167</v>
      </c>
      <c r="H134" s="360">
        <f t="shared" si="41"/>
        <v>10000000.000000004</v>
      </c>
      <c r="I134" s="365"/>
      <c r="J134" s="362">
        <f t="shared" si="33"/>
        <v>64340.301100034303</v>
      </c>
      <c r="K134" s="361"/>
      <c r="L134" s="360">
        <f t="shared" si="39"/>
        <v>20074.173943210702</v>
      </c>
      <c r="M134" s="361"/>
      <c r="N134" s="358">
        <f t="shared" si="35"/>
        <v>10000000</v>
      </c>
      <c r="O134" s="359"/>
      <c r="P134" s="9">
        <f t="shared" si="42"/>
        <v>7</v>
      </c>
      <c r="R134" s="40">
        <f t="shared" si="43"/>
        <v>3706.347834157697</v>
      </c>
      <c r="S134" s="35">
        <f t="shared" si="40"/>
        <v>576053.85284025699</v>
      </c>
      <c r="T134" s="36">
        <f t="shared" si="44"/>
        <v>64340.301100034303</v>
      </c>
      <c r="V134"/>
      <c r="W134"/>
      <c r="X134" s="9">
        <v>86</v>
      </c>
      <c r="Y134" s="6">
        <v>8</v>
      </c>
    </row>
    <row r="135" spans="1:25" ht="20.25" customHeight="1" x14ac:dyDescent="0.35">
      <c r="A135" s="195" t="s">
        <v>360</v>
      </c>
      <c r="B135" s="60">
        <v>87</v>
      </c>
      <c r="C135" s="34">
        <f t="shared" si="38"/>
        <v>64340.301100034303</v>
      </c>
      <c r="D135" s="38">
        <f t="shared" si="37"/>
        <v>17.471179563294992</v>
      </c>
      <c r="E135" s="34">
        <f t="shared" si="45"/>
        <v>0</v>
      </c>
      <c r="F135" s="15">
        <f t="shared" si="46"/>
        <v>27513.76579545411</v>
      </c>
      <c r="G135" s="15">
        <f t="shared" si="47"/>
        <v>3439.2207244317638</v>
      </c>
      <c r="H135" s="363">
        <f t="shared" si="41"/>
        <v>10000000.000000006</v>
      </c>
      <c r="I135" s="364"/>
      <c r="J135" s="362">
        <f t="shared" si="33"/>
        <v>64340.301100034303</v>
      </c>
      <c r="K135" s="361"/>
      <c r="L135" s="360">
        <f t="shared" si="39"/>
        <v>20074.173943210702</v>
      </c>
      <c r="M135" s="361"/>
      <c r="N135" s="358">
        <f t="shared" si="35"/>
        <v>10000000</v>
      </c>
      <c r="O135" s="359"/>
      <c r="P135" s="9">
        <f t="shared" si="42"/>
        <v>7</v>
      </c>
      <c r="R135" s="40">
        <f t="shared" si="43"/>
        <v>3682.6535304580198</v>
      </c>
      <c r="S135" s="35">
        <f t="shared" si="40"/>
        <v>572371.19930979901</v>
      </c>
      <c r="T135" s="36">
        <f t="shared" si="44"/>
        <v>64340.301100034303</v>
      </c>
      <c r="V135"/>
      <c r="W135"/>
      <c r="X135" s="9">
        <v>87</v>
      </c>
      <c r="Y135" s="6">
        <v>8</v>
      </c>
    </row>
    <row r="136" spans="1:25" ht="20.25" customHeight="1" x14ac:dyDescent="0.35">
      <c r="A136" s="195" t="s">
        <v>361</v>
      </c>
      <c r="B136" s="63">
        <v>88</v>
      </c>
      <c r="C136" s="39">
        <f t="shared" si="38"/>
        <v>64340.301100034303</v>
      </c>
      <c r="D136" s="38">
        <f t="shared" si="37"/>
        <v>17.583589658662508</v>
      </c>
      <c r="E136" s="39">
        <f t="shared" si="45"/>
        <v>0</v>
      </c>
      <c r="F136" s="40">
        <f t="shared" si="46"/>
        <v>27749.194079780777</v>
      </c>
      <c r="G136" s="40">
        <f t="shared" si="47"/>
        <v>3468.6492599725971</v>
      </c>
      <c r="H136" s="360">
        <f t="shared" si="41"/>
        <v>10000000.000000004</v>
      </c>
      <c r="I136" s="365"/>
      <c r="J136" s="362">
        <f t="shared" si="33"/>
        <v>64340.301100034303</v>
      </c>
      <c r="K136" s="361"/>
      <c r="L136" s="360">
        <f t="shared" si="39"/>
        <v>20074.173943210702</v>
      </c>
      <c r="M136" s="361"/>
      <c r="N136" s="358">
        <f t="shared" si="35"/>
        <v>10000000</v>
      </c>
      <c r="O136" s="359"/>
      <c r="P136" s="9">
        <f t="shared" si="42"/>
        <v>7</v>
      </c>
      <c r="R136" s="40">
        <f t="shared" si="43"/>
        <v>3659.110702025353</v>
      </c>
      <c r="S136" s="35">
        <f t="shared" si="40"/>
        <v>568712.08860777365</v>
      </c>
      <c r="T136" s="36">
        <f t="shared" si="44"/>
        <v>64340.301100034303</v>
      </c>
      <c r="V136"/>
      <c r="W136"/>
      <c r="X136" s="9">
        <v>88</v>
      </c>
      <c r="Y136" s="6">
        <v>8</v>
      </c>
    </row>
    <row r="137" spans="1:25" ht="20.25" customHeight="1" x14ac:dyDescent="0.35">
      <c r="A137" s="195" t="s">
        <v>360</v>
      </c>
      <c r="B137" s="60">
        <v>89</v>
      </c>
      <c r="C137" s="34">
        <f t="shared" si="38"/>
        <v>64340.301100034303</v>
      </c>
      <c r="D137" s="38">
        <f t="shared" si="37"/>
        <v>17.696723003968287</v>
      </c>
      <c r="E137" s="34">
        <f t="shared" si="45"/>
        <v>0</v>
      </c>
      <c r="F137" s="15">
        <f t="shared" si="46"/>
        <v>27983.117295096672</v>
      </c>
      <c r="G137" s="15">
        <f t="shared" si="47"/>
        <v>3497.889661887084</v>
      </c>
      <c r="H137" s="363">
        <f t="shared" si="41"/>
        <v>10000000.000000004</v>
      </c>
      <c r="I137" s="364"/>
      <c r="J137" s="362">
        <f t="shared" si="33"/>
        <v>64340.301100034303</v>
      </c>
      <c r="K137" s="361"/>
      <c r="L137" s="360">
        <f t="shared" si="39"/>
        <v>20074.173943210702</v>
      </c>
      <c r="M137" s="361"/>
      <c r="N137" s="358">
        <f t="shared" si="35"/>
        <v>10000000</v>
      </c>
      <c r="O137" s="359"/>
      <c r="P137" s="9">
        <f t="shared" si="42"/>
        <v>7</v>
      </c>
      <c r="R137" s="40">
        <f t="shared" si="43"/>
        <v>3635.7183804937631</v>
      </c>
      <c r="S137" s="35">
        <f t="shared" si="40"/>
        <v>565076.37022727984</v>
      </c>
      <c r="T137" s="36">
        <f t="shared" si="44"/>
        <v>64340.301100034303</v>
      </c>
      <c r="V137"/>
      <c r="W137"/>
      <c r="X137" s="9">
        <v>89</v>
      </c>
      <c r="Y137" s="6">
        <v>8</v>
      </c>
    </row>
    <row r="138" spans="1:25" ht="20.25" customHeight="1" x14ac:dyDescent="0.35">
      <c r="A138" s="195" t="s">
        <v>361</v>
      </c>
      <c r="B138" s="63">
        <v>90</v>
      </c>
      <c r="C138" s="39">
        <f t="shared" si="38"/>
        <v>64340.301100034303</v>
      </c>
      <c r="D138" s="38">
        <f t="shared" si="37"/>
        <v>17.81058425262421</v>
      </c>
      <c r="E138" s="39">
        <f t="shared" si="45"/>
        <v>0</v>
      </c>
      <c r="F138" s="40">
        <f t="shared" si="46"/>
        <v>28215.545063154485</v>
      </c>
      <c r="G138" s="40">
        <f t="shared" si="47"/>
        <v>3526.9431328943106</v>
      </c>
      <c r="H138" s="360">
        <f t="shared" si="41"/>
        <v>10000000.000000006</v>
      </c>
      <c r="I138" s="365"/>
      <c r="J138" s="362">
        <f t="shared" si="33"/>
        <v>64340.301100034303</v>
      </c>
      <c r="K138" s="361"/>
      <c r="L138" s="360">
        <f t="shared" si="39"/>
        <v>20074.173943210702</v>
      </c>
      <c r="M138" s="361"/>
      <c r="N138" s="358">
        <f t="shared" si="35"/>
        <v>10000000</v>
      </c>
      <c r="O138" s="359"/>
      <c r="P138" s="9">
        <f t="shared" si="42"/>
        <v>7</v>
      </c>
      <c r="R138" s="40">
        <f t="shared" si="43"/>
        <v>3612.4756036879817</v>
      </c>
      <c r="S138" s="35">
        <f t="shared" si="40"/>
        <v>561463.89462359191</v>
      </c>
      <c r="T138" s="36">
        <f t="shared" si="44"/>
        <v>64340.301100034303</v>
      </c>
      <c r="V138"/>
      <c r="W138"/>
      <c r="X138" s="9">
        <v>90</v>
      </c>
      <c r="Y138" s="6">
        <v>8</v>
      </c>
    </row>
    <row r="139" spans="1:25" ht="20.25" customHeight="1" x14ac:dyDescent="0.35">
      <c r="A139" s="195" t="s">
        <v>360</v>
      </c>
      <c r="B139" s="60">
        <v>91</v>
      </c>
      <c r="C139" s="34">
        <f t="shared" si="38"/>
        <v>64340.301100034303</v>
      </c>
      <c r="D139" s="38">
        <f t="shared" si="37"/>
        <v>17.925178087982346</v>
      </c>
      <c r="E139" s="34">
        <f t="shared" si="45"/>
        <v>0</v>
      </c>
      <c r="F139" s="15">
        <f t="shared" si="46"/>
        <v>28446.486944196015</v>
      </c>
      <c r="G139" s="15">
        <f t="shared" si="47"/>
        <v>3555.8108680245018</v>
      </c>
      <c r="H139" s="363">
        <f t="shared" si="41"/>
        <v>10000000.000000006</v>
      </c>
      <c r="I139" s="364"/>
      <c r="J139" s="362">
        <f t="shared" si="33"/>
        <v>64340.301100034303</v>
      </c>
      <c r="K139" s="361"/>
      <c r="L139" s="360">
        <f t="shared" si="39"/>
        <v>20074.173943210702</v>
      </c>
      <c r="M139" s="361"/>
      <c r="N139" s="358">
        <f t="shared" si="35"/>
        <v>10000000</v>
      </c>
      <c r="O139" s="359"/>
      <c r="P139" s="9">
        <f t="shared" si="42"/>
        <v>7</v>
      </c>
      <c r="R139" s="40">
        <f t="shared" si="43"/>
        <v>3589.381415583829</v>
      </c>
      <c r="S139" s="35">
        <f t="shared" si="40"/>
        <v>557874.51320800814</v>
      </c>
      <c r="T139" s="36">
        <f t="shared" si="44"/>
        <v>64340.301100034303</v>
      </c>
      <c r="V139"/>
      <c r="W139"/>
      <c r="X139" s="9">
        <v>91</v>
      </c>
      <c r="Y139" s="6">
        <v>8</v>
      </c>
    </row>
    <row r="140" spans="1:25" ht="20.25" customHeight="1" x14ac:dyDescent="0.35">
      <c r="A140" s="195" t="s">
        <v>361</v>
      </c>
      <c r="B140" s="63">
        <v>92</v>
      </c>
      <c r="C140" s="39">
        <f t="shared" si="38"/>
        <v>64340.301100034303</v>
      </c>
      <c r="D140" s="38">
        <f t="shared" si="37"/>
        <v>18.040509223527597</v>
      </c>
      <c r="E140" s="39">
        <f t="shared" si="45"/>
        <v>0</v>
      </c>
      <c r="F140" s="40">
        <f t="shared" si="46"/>
        <v>28675.952437345411</v>
      </c>
      <c r="G140" s="40">
        <f t="shared" si="47"/>
        <v>3584.4940546681764</v>
      </c>
      <c r="H140" s="360">
        <f t="shared" si="41"/>
        <v>10000000.000000004</v>
      </c>
      <c r="I140" s="365"/>
      <c r="J140" s="362">
        <f t="shared" si="33"/>
        <v>64340.301100034303</v>
      </c>
      <c r="K140" s="361"/>
      <c r="L140" s="360">
        <f t="shared" si="39"/>
        <v>20074.173943210702</v>
      </c>
      <c r="M140" s="361"/>
      <c r="N140" s="358">
        <f t="shared" si="35"/>
        <v>10000000</v>
      </c>
      <c r="O140" s="359"/>
      <c r="P140" s="9">
        <f t="shared" si="42"/>
        <v>7</v>
      </c>
      <c r="R140" s="40">
        <f t="shared" si="43"/>
        <v>3566.434866268889</v>
      </c>
      <c r="S140" s="35">
        <f t="shared" si="40"/>
        <v>554308.07834173925</v>
      </c>
      <c r="T140" s="36">
        <f t="shared" si="44"/>
        <v>64340.301100034303</v>
      </c>
      <c r="V140"/>
      <c r="W140"/>
      <c r="X140" s="9">
        <v>92</v>
      </c>
      <c r="Y140" s="6">
        <v>8</v>
      </c>
    </row>
    <row r="141" spans="1:25" ht="20.25" customHeight="1" x14ac:dyDescent="0.35">
      <c r="A141" s="195" t="s">
        <v>360</v>
      </c>
      <c r="B141" s="60">
        <v>93</v>
      </c>
      <c r="C141" s="34">
        <f t="shared" si="38"/>
        <v>64340.301100034303</v>
      </c>
      <c r="D141" s="38">
        <f t="shared" si="37"/>
        <v>18.156582403071567</v>
      </c>
      <c r="E141" s="34">
        <f t="shared" si="45"/>
        <v>0</v>
      </c>
      <c r="F141" s="15">
        <f t="shared" si="46"/>
        <v>28903.950980999904</v>
      </c>
      <c r="G141" s="15">
        <f t="shared" si="47"/>
        <v>3612.9938726249879</v>
      </c>
      <c r="H141" s="363">
        <f t="shared" si="41"/>
        <v>10000000.000000004</v>
      </c>
      <c r="I141" s="364"/>
      <c r="J141" s="362">
        <f t="shared" si="33"/>
        <v>64340.301100034303</v>
      </c>
      <c r="K141" s="361"/>
      <c r="L141" s="360">
        <f t="shared" si="39"/>
        <v>20074.173943210702</v>
      </c>
      <c r="M141" s="361"/>
      <c r="N141" s="358">
        <f t="shared" si="35"/>
        <v>10000000</v>
      </c>
      <c r="O141" s="359"/>
      <c r="P141" s="9">
        <f t="shared" si="42"/>
        <v>7</v>
      </c>
      <c r="R141" s="40">
        <f t="shared" si="43"/>
        <v>3543.63501190344</v>
      </c>
      <c r="S141" s="35">
        <f t="shared" si="40"/>
        <v>550764.44332983578</v>
      </c>
      <c r="T141" s="36">
        <f t="shared" si="44"/>
        <v>64340.301100034303</v>
      </c>
      <c r="V141"/>
      <c r="W141"/>
      <c r="X141" s="9">
        <v>93</v>
      </c>
      <c r="Y141" s="6">
        <v>8</v>
      </c>
    </row>
    <row r="142" spans="1:25" ht="20.25" customHeight="1" x14ac:dyDescent="0.35">
      <c r="A142" s="195" t="s">
        <v>361</v>
      </c>
      <c r="B142" s="63">
        <v>94</v>
      </c>
      <c r="C142" s="39">
        <f t="shared" si="38"/>
        <v>64340.301100034303</v>
      </c>
      <c r="D142" s="38">
        <f t="shared" si="37"/>
        <v>18.273402400947688</v>
      </c>
      <c r="E142" s="39">
        <f t="shared" si="45"/>
        <v>0</v>
      </c>
      <c r="F142" s="40">
        <f t="shared" si="46"/>
        <v>29130.491953217992</v>
      </c>
      <c r="G142" s="40">
        <f t="shared" si="47"/>
        <v>3641.311494152249</v>
      </c>
      <c r="H142" s="360">
        <f t="shared" si="41"/>
        <v>10000000.000000004</v>
      </c>
      <c r="I142" s="365"/>
      <c r="J142" s="362">
        <f t="shared" si="33"/>
        <v>64340.301100034303</v>
      </c>
      <c r="K142" s="361"/>
      <c r="L142" s="360">
        <f t="shared" si="39"/>
        <v>20074.173943210702</v>
      </c>
      <c r="M142" s="361"/>
      <c r="N142" s="358">
        <f t="shared" si="35"/>
        <v>10000000</v>
      </c>
      <c r="O142" s="359"/>
      <c r="P142" s="9">
        <f t="shared" si="42"/>
        <v>7</v>
      </c>
      <c r="R142" s="40">
        <f t="shared" si="43"/>
        <v>3520.980914681631</v>
      </c>
      <c r="S142" s="35">
        <f t="shared" si="40"/>
        <v>547243.46241515409</v>
      </c>
      <c r="T142" s="36">
        <f t="shared" si="44"/>
        <v>64340.301100034303</v>
      </c>
      <c r="V142"/>
      <c r="W142"/>
      <c r="X142" s="9">
        <v>94</v>
      </c>
      <c r="Y142" s="6">
        <v>8</v>
      </c>
    </row>
    <row r="143" spans="1:25" ht="20.25" customHeight="1" x14ac:dyDescent="0.35">
      <c r="A143" s="195" t="s">
        <v>360</v>
      </c>
      <c r="B143" s="60">
        <v>95</v>
      </c>
      <c r="C143" s="34">
        <f t="shared" si="38"/>
        <v>64340.301100034303</v>
      </c>
      <c r="D143" s="38">
        <f t="shared" si="37"/>
        <v>18.390974022207594</v>
      </c>
      <c r="E143" s="34">
        <f t="shared" si="45"/>
        <v>0</v>
      </c>
      <c r="F143" s="15">
        <f t="shared" si="46"/>
        <v>29355.584672105218</v>
      </c>
      <c r="G143" s="15">
        <f t="shared" si="47"/>
        <v>3669.4480840131523</v>
      </c>
      <c r="H143" s="363">
        <f t="shared" si="41"/>
        <v>10000000.000000002</v>
      </c>
      <c r="I143" s="364"/>
      <c r="J143" s="362">
        <f t="shared" si="33"/>
        <v>64340.301100034303</v>
      </c>
      <c r="K143" s="361"/>
      <c r="L143" s="360">
        <f t="shared" si="39"/>
        <v>20074.173943210702</v>
      </c>
      <c r="M143" s="361"/>
      <c r="N143" s="358">
        <f t="shared" si="35"/>
        <v>10000000</v>
      </c>
      <c r="O143" s="359"/>
      <c r="P143" s="9">
        <f t="shared" si="42"/>
        <v>7</v>
      </c>
      <c r="R143" s="40">
        <f t="shared" si="43"/>
        <v>3498.4716427929084</v>
      </c>
      <c r="S143" s="35">
        <f t="shared" si="40"/>
        <v>543744.99077236117</v>
      </c>
      <c r="T143" s="36">
        <f t="shared" si="44"/>
        <v>64340.301100034303</v>
      </c>
      <c r="V143"/>
      <c r="W143"/>
      <c r="X143" s="9">
        <v>95</v>
      </c>
      <c r="Y143" s="6">
        <v>8</v>
      </c>
    </row>
    <row r="144" spans="1:25" ht="20.25" customHeight="1" x14ac:dyDescent="0.35">
      <c r="A144" s="195" t="s">
        <v>361</v>
      </c>
      <c r="B144" s="63">
        <v>96</v>
      </c>
      <c r="C144" s="39">
        <f t="shared" si="38"/>
        <v>64340.301100034303</v>
      </c>
      <c r="D144" s="38">
        <f t="shared" si="37"/>
        <v>18.509302102818769</v>
      </c>
      <c r="E144" s="39">
        <f t="shared" si="45"/>
        <v>0</v>
      </c>
      <c r="F144" s="40">
        <f t="shared" si="46"/>
        <v>29579.238396197423</v>
      </c>
      <c r="G144" s="40">
        <f t="shared" si="47"/>
        <v>3697.4047995246779</v>
      </c>
      <c r="H144" s="360">
        <f t="shared" si="41"/>
        <v>10000000.000000002</v>
      </c>
      <c r="I144" s="365"/>
      <c r="J144" s="362">
        <f t="shared" si="33"/>
        <v>64340.301100034303</v>
      </c>
      <c r="K144" s="361"/>
      <c r="L144" s="360">
        <f t="shared" si="39"/>
        <v>20074.173943210702</v>
      </c>
      <c r="M144" s="361"/>
      <c r="N144" s="358">
        <f t="shared" si="35"/>
        <v>10000000</v>
      </c>
      <c r="O144" s="359"/>
      <c r="P144" s="9">
        <f t="shared" si="42"/>
        <v>7</v>
      </c>
      <c r="R144" s="40">
        <f t="shared" si="43"/>
        <v>3476.1062703836878</v>
      </c>
      <c r="S144" s="35">
        <f t="shared" si="40"/>
        <v>540268.88450197747</v>
      </c>
      <c r="T144" s="36">
        <f t="shared" si="44"/>
        <v>64340.301100034303</v>
      </c>
      <c r="V144"/>
      <c r="W144"/>
      <c r="X144" s="9">
        <v>96</v>
      </c>
      <c r="Y144" s="6">
        <v>8</v>
      </c>
    </row>
    <row r="145" spans="1:25" ht="20.25" customHeight="1" x14ac:dyDescent="0.35">
      <c r="A145" s="195" t="s">
        <v>360</v>
      </c>
      <c r="B145" s="60">
        <v>97</v>
      </c>
      <c r="C145" s="34">
        <f t="shared" si="38"/>
        <v>64340.301100034303</v>
      </c>
      <c r="D145" s="38">
        <f t="shared" si="37"/>
        <v>18.628391509863455</v>
      </c>
      <c r="E145" s="34">
        <f t="shared" si="45"/>
        <v>0</v>
      </c>
      <c r="F145" s="15">
        <f t="shared" si="46"/>
        <v>29801.46232484157</v>
      </c>
      <c r="G145" s="15">
        <f t="shared" si="47"/>
        <v>3725.1827906051963</v>
      </c>
      <c r="H145" s="363">
        <f t="shared" si="41"/>
        <v>10000000.000000002</v>
      </c>
      <c r="I145" s="364"/>
      <c r="J145" s="362">
        <f t="shared" ref="J145:J208" si="48">$H$5*((1+$H$7)^(1/12)-1)</f>
        <v>64340.301100034303</v>
      </c>
      <c r="K145" s="361"/>
      <c r="L145" s="360">
        <f t="shared" si="39"/>
        <v>20074.173943210702</v>
      </c>
      <c r="M145" s="361"/>
      <c r="N145" s="358">
        <f t="shared" ref="N145:N208" si="49">$H$5</f>
        <v>10000000</v>
      </c>
      <c r="O145" s="359"/>
      <c r="P145" s="9">
        <f t="shared" si="42"/>
        <v>8</v>
      </c>
      <c r="R145" s="40">
        <f t="shared" si="43"/>
        <v>3453.8838775192735</v>
      </c>
      <c r="S145" s="35">
        <f t="shared" si="40"/>
        <v>536815.00062445819</v>
      </c>
      <c r="T145" s="36">
        <f t="shared" si="44"/>
        <v>64340.301100034303</v>
      </c>
      <c r="V145"/>
      <c r="W145"/>
      <c r="X145" s="9">
        <v>97</v>
      </c>
      <c r="Y145" s="6">
        <v>9</v>
      </c>
    </row>
    <row r="146" spans="1:25" ht="20.25" customHeight="1" x14ac:dyDescent="0.35">
      <c r="A146" s="195" t="s">
        <v>361</v>
      </c>
      <c r="B146" s="63">
        <v>98</v>
      </c>
      <c r="C146" s="39">
        <f t="shared" si="38"/>
        <v>64340.301100034303</v>
      </c>
      <c r="D146" s="38">
        <f t="shared" ref="D146:D209" si="50">D145*(1+(1+$H$6)^(1/12)-1)</f>
        <v>18.748247141738847</v>
      </c>
      <c r="E146" s="39">
        <f t="shared" si="45"/>
        <v>0</v>
      </c>
      <c r="F146" s="40">
        <f t="shared" si="46"/>
        <v>30022.265598574129</v>
      </c>
      <c r="G146" s="40">
        <f t="shared" si="47"/>
        <v>3752.7831998217662</v>
      </c>
      <c r="H146" s="360">
        <f t="shared" si="41"/>
        <v>10000000</v>
      </c>
      <c r="I146" s="365"/>
      <c r="J146" s="362">
        <f t="shared" si="48"/>
        <v>64340.301100034303</v>
      </c>
      <c r="K146" s="361"/>
      <c r="L146" s="360">
        <f t="shared" si="39"/>
        <v>20074.173943210702</v>
      </c>
      <c r="M146" s="361"/>
      <c r="N146" s="358">
        <f t="shared" si="49"/>
        <v>10000000</v>
      </c>
      <c r="O146" s="359"/>
      <c r="P146" s="9">
        <f t="shared" si="42"/>
        <v>8</v>
      </c>
      <c r="R146" s="40">
        <f t="shared" si="43"/>
        <v>3431.8035501460176</v>
      </c>
      <c r="S146" s="35">
        <f t="shared" si="40"/>
        <v>533383.19707431213</v>
      </c>
      <c r="T146" s="36">
        <f t="shared" si="44"/>
        <v>64340.301100034303</v>
      </c>
      <c r="V146"/>
      <c r="W146"/>
      <c r="X146" s="9">
        <v>98</v>
      </c>
      <c r="Y146" s="6">
        <v>9</v>
      </c>
    </row>
    <row r="147" spans="1:25" ht="20.25" customHeight="1" x14ac:dyDescent="0.35">
      <c r="A147" s="195" t="s">
        <v>360</v>
      </c>
      <c r="B147" s="60">
        <v>99</v>
      </c>
      <c r="C147" s="34">
        <f t="shared" si="38"/>
        <v>64340.301100034303</v>
      </c>
      <c r="D147" s="38">
        <f t="shared" si="50"/>
        <v>18.868873928358582</v>
      </c>
      <c r="E147" s="34">
        <f t="shared" si="45"/>
        <v>0</v>
      </c>
      <c r="F147" s="15">
        <f t="shared" si="46"/>
        <v>30241.657299497067</v>
      </c>
      <c r="G147" s="15">
        <f t="shared" si="47"/>
        <v>3780.2071624371333</v>
      </c>
      <c r="H147" s="363">
        <f t="shared" si="41"/>
        <v>10000000.000000002</v>
      </c>
      <c r="I147" s="364"/>
      <c r="J147" s="362">
        <f t="shared" si="48"/>
        <v>64340.301100034303</v>
      </c>
      <c r="K147" s="361"/>
      <c r="L147" s="360">
        <f t="shared" si="39"/>
        <v>20074.173943210702</v>
      </c>
      <c r="M147" s="361"/>
      <c r="N147" s="358">
        <f t="shared" si="49"/>
        <v>10000000</v>
      </c>
      <c r="O147" s="359"/>
      <c r="P147" s="9">
        <f t="shared" si="42"/>
        <v>8</v>
      </c>
      <c r="R147" s="40">
        <f t="shared" si="43"/>
        <v>3409.8643800537234</v>
      </c>
      <c r="S147" s="35">
        <f t="shared" si="40"/>
        <v>529973.33269425842</v>
      </c>
      <c r="T147" s="36">
        <f t="shared" si="44"/>
        <v>64340.301100034303</v>
      </c>
      <c r="V147"/>
      <c r="W147"/>
      <c r="X147" s="9">
        <v>99</v>
      </c>
      <c r="Y147" s="6">
        <v>9</v>
      </c>
    </row>
    <row r="148" spans="1:25" ht="20.25" customHeight="1" x14ac:dyDescent="0.35">
      <c r="A148" s="195" t="s">
        <v>361</v>
      </c>
      <c r="B148" s="63">
        <v>100</v>
      </c>
      <c r="C148" s="39">
        <f t="shared" si="38"/>
        <v>64340.301100034303</v>
      </c>
      <c r="D148" s="38">
        <f t="shared" si="50"/>
        <v>18.990276831355498</v>
      </c>
      <c r="E148" s="39">
        <f t="shared" si="45"/>
        <v>0</v>
      </c>
      <c r="F148" s="40">
        <f t="shared" si="46"/>
        <v>30459.646451651388</v>
      </c>
      <c r="G148" s="40">
        <f t="shared" si="47"/>
        <v>3807.4558064564235</v>
      </c>
      <c r="H148" s="360">
        <f t="shared" si="41"/>
        <v>10000000</v>
      </c>
      <c r="I148" s="365"/>
      <c r="J148" s="362">
        <f t="shared" si="48"/>
        <v>64340.301100034303</v>
      </c>
      <c r="K148" s="361"/>
      <c r="L148" s="360">
        <f t="shared" si="39"/>
        <v>20074.173943210702</v>
      </c>
      <c r="M148" s="361"/>
      <c r="N148" s="358">
        <f t="shared" si="49"/>
        <v>10000000</v>
      </c>
      <c r="O148" s="359"/>
      <c r="P148" s="9">
        <f t="shared" si="42"/>
        <v>8</v>
      </c>
      <c r="R148" s="40">
        <f t="shared" si="43"/>
        <v>3388.0654648382915</v>
      </c>
      <c r="S148" s="35">
        <f t="shared" si="40"/>
        <v>526585.26722942013</v>
      </c>
      <c r="T148" s="36">
        <f t="shared" si="44"/>
        <v>64340.301100034303</v>
      </c>
      <c r="V148"/>
      <c r="W148"/>
      <c r="X148" s="9">
        <v>100</v>
      </c>
      <c r="Y148" s="6">
        <v>9</v>
      </c>
    </row>
    <row r="149" spans="1:25" ht="20.25" customHeight="1" x14ac:dyDescent="0.35">
      <c r="A149" s="195" t="s">
        <v>360</v>
      </c>
      <c r="B149" s="60">
        <v>101</v>
      </c>
      <c r="C149" s="34">
        <f t="shared" si="38"/>
        <v>64340.301100034303</v>
      </c>
      <c r="D149" s="38">
        <f t="shared" si="50"/>
        <v>19.112460844285739</v>
      </c>
      <c r="E149" s="34">
        <f t="shared" si="45"/>
        <v>0</v>
      </c>
      <c r="F149" s="15">
        <f t="shared" si="46"/>
        <v>30676.242021388327</v>
      </c>
      <c r="G149" s="15">
        <f t="shared" si="47"/>
        <v>3834.5302526735409</v>
      </c>
      <c r="H149" s="363">
        <f t="shared" si="41"/>
        <v>10000000</v>
      </c>
      <c r="I149" s="364"/>
      <c r="J149" s="362">
        <f t="shared" si="48"/>
        <v>64340.301100034303</v>
      </c>
      <c r="K149" s="361"/>
      <c r="L149" s="360">
        <f t="shared" si="39"/>
        <v>20074.173943210702</v>
      </c>
      <c r="M149" s="361"/>
      <c r="N149" s="358">
        <f t="shared" si="49"/>
        <v>10000000</v>
      </c>
      <c r="O149" s="359"/>
      <c r="P149" s="9">
        <f t="shared" si="42"/>
        <v>8</v>
      </c>
      <c r="R149" s="40">
        <f t="shared" si="43"/>
        <v>3366.4059078645973</v>
      </c>
      <c r="S149" s="35">
        <f t="shared" si="40"/>
        <v>523218.86132155551</v>
      </c>
      <c r="T149" s="36">
        <f t="shared" si="44"/>
        <v>64340.301100034303</v>
      </c>
      <c r="V149"/>
      <c r="W149"/>
      <c r="X149" s="9">
        <v>101</v>
      </c>
      <c r="Y149" s="6">
        <v>9</v>
      </c>
    </row>
    <row r="150" spans="1:25" ht="20.25" customHeight="1" x14ac:dyDescent="0.35">
      <c r="A150" s="195" t="s">
        <v>361</v>
      </c>
      <c r="B150" s="63">
        <v>102</v>
      </c>
      <c r="C150" s="39">
        <f t="shared" si="38"/>
        <v>64340.301100034303</v>
      </c>
      <c r="D150" s="38">
        <f t="shared" si="50"/>
        <v>19.235430992834136</v>
      </c>
      <c r="E150" s="39">
        <f t="shared" si="45"/>
        <v>0</v>
      </c>
      <c r="F150" s="40">
        <f t="shared" si="46"/>
        <v>30891.452917738159</v>
      </c>
      <c r="G150" s="40">
        <f t="shared" si="47"/>
        <v>3861.4316147172699</v>
      </c>
      <c r="H150" s="360">
        <f t="shared" si="41"/>
        <v>10000000</v>
      </c>
      <c r="I150" s="365"/>
      <c r="J150" s="362">
        <f t="shared" si="48"/>
        <v>64340.301100034303</v>
      </c>
      <c r="K150" s="361"/>
      <c r="L150" s="360">
        <f t="shared" si="39"/>
        <v>20074.173943210702</v>
      </c>
      <c r="M150" s="361"/>
      <c r="N150" s="358">
        <f t="shared" si="49"/>
        <v>10000000</v>
      </c>
      <c r="O150" s="359"/>
      <c r="P150" s="9">
        <f t="shared" si="42"/>
        <v>8</v>
      </c>
      <c r="R150" s="40">
        <f t="shared" si="43"/>
        <v>3344.8848182296147</v>
      </c>
      <c r="S150" s="35">
        <f t="shared" si="40"/>
        <v>519873.97650332592</v>
      </c>
      <c r="T150" s="36">
        <f t="shared" si="44"/>
        <v>64340.301100034303</v>
      </c>
      <c r="V150"/>
      <c r="W150"/>
      <c r="X150" s="9">
        <v>102</v>
      </c>
      <c r="Y150" s="6">
        <v>9</v>
      </c>
    </row>
    <row r="151" spans="1:25" ht="20.25" customHeight="1" x14ac:dyDescent="0.35">
      <c r="A151" s="195" t="s">
        <v>360</v>
      </c>
      <c r="B151" s="60">
        <v>103</v>
      </c>
      <c r="C151" s="34">
        <f t="shared" si="38"/>
        <v>64340.301100034303</v>
      </c>
      <c r="D151" s="38">
        <f t="shared" si="50"/>
        <v>19.359192335020925</v>
      </c>
      <c r="E151" s="34">
        <f t="shared" si="45"/>
        <v>0</v>
      </c>
      <c r="F151" s="15">
        <f t="shared" si="46"/>
        <v>31105.287992776615</v>
      </c>
      <c r="G151" s="15">
        <f t="shared" si="47"/>
        <v>3888.1609990970769</v>
      </c>
      <c r="H151" s="363">
        <f t="shared" si="41"/>
        <v>10000000.000000002</v>
      </c>
      <c r="I151" s="364"/>
      <c r="J151" s="362">
        <f t="shared" si="48"/>
        <v>64340.301100034303</v>
      </c>
      <c r="K151" s="361"/>
      <c r="L151" s="360">
        <f t="shared" si="39"/>
        <v>20074.173943210702</v>
      </c>
      <c r="M151" s="361"/>
      <c r="N151" s="358">
        <f t="shared" si="49"/>
        <v>10000000</v>
      </c>
      <c r="O151" s="359"/>
      <c r="P151" s="9">
        <f t="shared" si="42"/>
        <v>8</v>
      </c>
      <c r="R151" s="40">
        <f t="shared" si="43"/>
        <v>3323.5013107257691</v>
      </c>
      <c r="S151" s="35">
        <f t="shared" si="40"/>
        <v>516550.47519260016</v>
      </c>
      <c r="T151" s="36">
        <f t="shared" si="44"/>
        <v>64340.301100034303</v>
      </c>
      <c r="V151"/>
      <c r="W151"/>
      <c r="X151" s="9">
        <v>103</v>
      </c>
      <c r="Y151" s="6">
        <v>9</v>
      </c>
    </row>
    <row r="152" spans="1:25" ht="20.25" customHeight="1" x14ac:dyDescent="0.35">
      <c r="A152" s="195" t="s">
        <v>361</v>
      </c>
      <c r="B152" s="63">
        <v>104</v>
      </c>
      <c r="C152" s="39">
        <f t="shared" si="38"/>
        <v>64340.301100034303</v>
      </c>
      <c r="D152" s="38">
        <f t="shared" si="50"/>
        <v>19.483749961409796</v>
      </c>
      <c r="E152" s="39">
        <f t="shared" si="45"/>
        <v>0</v>
      </c>
      <c r="F152" s="40">
        <f t="shared" si="46"/>
        <v>31317.756041989021</v>
      </c>
      <c r="G152" s="40">
        <f t="shared" si="47"/>
        <v>3914.7195052486277</v>
      </c>
      <c r="H152" s="360">
        <f t="shared" si="41"/>
        <v>10000000.000000002</v>
      </c>
      <c r="I152" s="365"/>
      <c r="J152" s="362">
        <f t="shared" si="48"/>
        <v>64340.301100034303</v>
      </c>
      <c r="K152" s="361"/>
      <c r="L152" s="360">
        <f t="shared" si="39"/>
        <v>20074.173943210702</v>
      </c>
      <c r="M152" s="361"/>
      <c r="N152" s="358">
        <f t="shared" si="49"/>
        <v>10000000</v>
      </c>
      <c r="O152" s="359"/>
      <c r="P152" s="9">
        <f t="shared" si="42"/>
        <v>8</v>
      </c>
      <c r="R152" s="40">
        <f t="shared" si="43"/>
        <v>3302.2545058045284</v>
      </c>
      <c r="S152" s="35">
        <f t="shared" si="40"/>
        <v>513248.22068679566</v>
      </c>
      <c r="T152" s="36">
        <f t="shared" si="44"/>
        <v>64340.301100034303</v>
      </c>
      <c r="V152"/>
      <c r="W152"/>
      <c r="X152" s="9">
        <v>104</v>
      </c>
      <c r="Y152" s="6">
        <v>9</v>
      </c>
    </row>
    <row r="153" spans="1:25" ht="20.25" customHeight="1" x14ac:dyDescent="0.35">
      <c r="A153" s="195" t="s">
        <v>360</v>
      </c>
      <c r="B153" s="60">
        <v>105</v>
      </c>
      <c r="C153" s="34">
        <f t="shared" si="38"/>
        <v>64340.301100034303</v>
      </c>
      <c r="D153" s="38">
        <f t="shared" si="50"/>
        <v>19.609108995317285</v>
      </c>
      <c r="E153" s="34">
        <f t="shared" si="45"/>
        <v>0</v>
      </c>
      <c r="F153" s="15">
        <f t="shared" si="46"/>
        <v>31528.865804632067</v>
      </c>
      <c r="G153" s="15">
        <f t="shared" si="47"/>
        <v>3941.1082255790084</v>
      </c>
      <c r="H153" s="363">
        <f t="shared" si="41"/>
        <v>10000000.000000002</v>
      </c>
      <c r="I153" s="364"/>
      <c r="J153" s="362">
        <f t="shared" si="48"/>
        <v>64340.301100034303</v>
      </c>
      <c r="K153" s="361"/>
      <c r="L153" s="360">
        <f t="shared" si="39"/>
        <v>20074.173943210702</v>
      </c>
      <c r="M153" s="361"/>
      <c r="N153" s="358">
        <f t="shared" si="49"/>
        <v>10000000</v>
      </c>
      <c r="O153" s="359"/>
      <c r="P153" s="9">
        <f t="shared" si="42"/>
        <v>8</v>
      </c>
      <c r="R153" s="40">
        <f t="shared" si="43"/>
        <v>3281.1435295402234</v>
      </c>
      <c r="S153" s="35">
        <f t="shared" si="40"/>
        <v>509967.07715725544</v>
      </c>
      <c r="T153" s="36">
        <f t="shared" si="44"/>
        <v>64340.301100034303</v>
      </c>
      <c r="V153"/>
      <c r="W153"/>
      <c r="X153" s="9">
        <v>105</v>
      </c>
      <c r="Y153" s="6">
        <v>9</v>
      </c>
    </row>
    <row r="154" spans="1:25" ht="20.25" customHeight="1" x14ac:dyDescent="0.35">
      <c r="A154" s="195" t="s">
        <v>361</v>
      </c>
      <c r="B154" s="63">
        <v>106</v>
      </c>
      <c r="C154" s="39">
        <f t="shared" si="38"/>
        <v>64340.301100034303</v>
      </c>
      <c r="D154" s="38">
        <f t="shared" si="50"/>
        <v>19.735274593023497</v>
      </c>
      <c r="E154" s="39">
        <f t="shared" si="45"/>
        <v>0</v>
      </c>
      <c r="F154" s="40">
        <f t="shared" si="46"/>
        <v>31738.625964093266</v>
      </c>
      <c r="G154" s="40">
        <f t="shared" si="47"/>
        <v>3967.3282455116582</v>
      </c>
      <c r="H154" s="360">
        <f t="shared" si="41"/>
        <v>10000000.000000002</v>
      </c>
      <c r="I154" s="365"/>
      <c r="J154" s="362">
        <f t="shared" si="48"/>
        <v>64340.301100034303</v>
      </c>
      <c r="K154" s="361"/>
      <c r="L154" s="360">
        <f t="shared" si="39"/>
        <v>20074.173943210702</v>
      </c>
      <c r="M154" s="361"/>
      <c r="N154" s="358">
        <f t="shared" si="49"/>
        <v>10000000</v>
      </c>
      <c r="O154" s="359"/>
      <c r="P154" s="9">
        <f t="shared" si="42"/>
        <v>8</v>
      </c>
      <c r="R154" s="40">
        <f t="shared" si="43"/>
        <v>3260.1675135941036</v>
      </c>
      <c r="S154" s="35">
        <f t="shared" si="40"/>
        <v>506706.90964366135</v>
      </c>
      <c r="T154" s="36">
        <f t="shared" si="44"/>
        <v>64340.301100034303</v>
      </c>
      <c r="V154"/>
      <c r="W154"/>
      <c r="X154" s="9">
        <v>106</v>
      </c>
      <c r="Y154" s="6">
        <v>9</v>
      </c>
    </row>
    <row r="155" spans="1:25" ht="20.25" customHeight="1" x14ac:dyDescent="0.35">
      <c r="A155" s="195" t="s">
        <v>360</v>
      </c>
      <c r="B155" s="60">
        <v>107</v>
      </c>
      <c r="C155" s="34">
        <f t="shared" si="38"/>
        <v>64340.301100034303</v>
      </c>
      <c r="D155" s="38">
        <f t="shared" si="50"/>
        <v>19.862251943984198</v>
      </c>
      <c r="E155" s="34">
        <f t="shared" si="45"/>
        <v>0</v>
      </c>
      <c r="F155" s="15">
        <f t="shared" si="46"/>
        <v>31947.045148248111</v>
      </c>
      <c r="G155" s="15">
        <f t="shared" si="47"/>
        <v>3993.3806435310139</v>
      </c>
      <c r="H155" s="363">
        <f t="shared" si="41"/>
        <v>10000000.000000004</v>
      </c>
      <c r="I155" s="364"/>
      <c r="J155" s="362">
        <f t="shared" si="48"/>
        <v>64340.301100034303</v>
      </c>
      <c r="K155" s="361"/>
      <c r="L155" s="360">
        <f t="shared" si="39"/>
        <v>20074.173943210702</v>
      </c>
      <c r="M155" s="361"/>
      <c r="N155" s="358">
        <f t="shared" si="49"/>
        <v>10000000</v>
      </c>
      <c r="O155" s="359"/>
      <c r="P155" s="9">
        <f t="shared" si="42"/>
        <v>8</v>
      </c>
      <c r="R155" s="40">
        <f t="shared" si="43"/>
        <v>3239.3255951786196</v>
      </c>
      <c r="S155" s="35">
        <f t="shared" si="40"/>
        <v>503467.58404848271</v>
      </c>
      <c r="T155" s="36">
        <f t="shared" si="44"/>
        <v>64340.301100034303</v>
      </c>
      <c r="V155"/>
      <c r="W155"/>
      <c r="X155" s="9">
        <v>107</v>
      </c>
      <c r="Y155" s="6">
        <v>9</v>
      </c>
    </row>
    <row r="156" spans="1:25" ht="20.25" customHeight="1" x14ac:dyDescent="0.35">
      <c r="A156" s="195" t="s">
        <v>361</v>
      </c>
      <c r="B156" s="63">
        <v>108</v>
      </c>
      <c r="C156" s="39">
        <f t="shared" si="38"/>
        <v>64340.301100034303</v>
      </c>
      <c r="D156" s="38">
        <f t="shared" si="50"/>
        <v>19.990046271044267</v>
      </c>
      <c r="E156" s="39">
        <f t="shared" si="45"/>
        <v>0</v>
      </c>
      <c r="F156" s="40">
        <f t="shared" si="46"/>
        <v>32154.131929814965</v>
      </c>
      <c r="G156" s="40">
        <f t="shared" si="47"/>
        <v>4019.2664912268706</v>
      </c>
      <c r="H156" s="360">
        <f t="shared" si="41"/>
        <v>10000000.000000004</v>
      </c>
      <c r="I156" s="365"/>
      <c r="J156" s="362">
        <f t="shared" si="48"/>
        <v>64340.301100034303</v>
      </c>
      <c r="K156" s="361"/>
      <c r="L156" s="360">
        <f t="shared" si="39"/>
        <v>20074.173943210702</v>
      </c>
      <c r="M156" s="361"/>
      <c r="N156" s="358">
        <f t="shared" si="49"/>
        <v>10000000</v>
      </c>
      <c r="O156" s="359"/>
      <c r="P156" s="9">
        <f t="shared" si="42"/>
        <v>8</v>
      </c>
      <c r="R156" s="40">
        <f t="shared" si="43"/>
        <v>3218.6169170219337</v>
      </c>
      <c r="S156" s="35">
        <f t="shared" si="40"/>
        <v>500248.96713146078</v>
      </c>
      <c r="T156" s="36">
        <f t="shared" si="44"/>
        <v>64340.301100034303</v>
      </c>
      <c r="V156"/>
      <c r="W156"/>
      <c r="X156" s="9">
        <v>108</v>
      </c>
      <c r="Y156" s="6">
        <v>9</v>
      </c>
    </row>
    <row r="157" spans="1:25" ht="20.25" customHeight="1" x14ac:dyDescent="0.35">
      <c r="A157" s="195" t="s">
        <v>360</v>
      </c>
      <c r="B157" s="60">
        <v>109</v>
      </c>
      <c r="C157" s="34">
        <f t="shared" si="38"/>
        <v>64340.301100034303</v>
      </c>
      <c r="D157" s="38">
        <f t="shared" si="50"/>
        <v>20.118662830652529</v>
      </c>
      <c r="E157" s="34">
        <f t="shared" si="45"/>
        <v>0</v>
      </c>
      <c r="F157" s="15">
        <f t="shared" si="46"/>
        <v>32359.894826707692</v>
      </c>
      <c r="G157" s="15">
        <f t="shared" si="47"/>
        <v>4044.9868533384615</v>
      </c>
      <c r="H157" s="363">
        <f t="shared" si="41"/>
        <v>10000000.000000006</v>
      </c>
      <c r="I157" s="364"/>
      <c r="J157" s="362">
        <f t="shared" si="48"/>
        <v>64340.301100034303</v>
      </c>
      <c r="K157" s="361"/>
      <c r="L157" s="360">
        <f t="shared" si="39"/>
        <v>20074.173943210702</v>
      </c>
      <c r="M157" s="361"/>
      <c r="N157" s="358">
        <f t="shared" si="49"/>
        <v>10000000</v>
      </c>
      <c r="O157" s="359"/>
      <c r="P157" s="9">
        <f t="shared" si="42"/>
        <v>9</v>
      </c>
      <c r="R157" s="40">
        <f t="shared" si="43"/>
        <v>3198.0406273326612</v>
      </c>
      <c r="S157" s="35">
        <f t="shared" si="40"/>
        <v>497050.92650412815</v>
      </c>
      <c r="T157" s="36">
        <f t="shared" si="44"/>
        <v>64340.301100034303</v>
      </c>
      <c r="V157"/>
      <c r="W157"/>
      <c r="X157" s="9">
        <v>109</v>
      </c>
      <c r="Y157" s="6">
        <v>10</v>
      </c>
    </row>
    <row r="158" spans="1:25" ht="20.25" customHeight="1" x14ac:dyDescent="0.35">
      <c r="A158" s="195" t="s">
        <v>361</v>
      </c>
      <c r="B158" s="63">
        <v>110</v>
      </c>
      <c r="C158" s="39">
        <f t="shared" si="38"/>
        <v>64340.301100034303</v>
      </c>
      <c r="D158" s="38">
        <f t="shared" si="50"/>
        <v>20.248106913077955</v>
      </c>
      <c r="E158" s="39">
        <f t="shared" si="45"/>
        <v>0</v>
      </c>
      <c r="F158" s="40">
        <f t="shared" si="46"/>
        <v>32564.342302385994</v>
      </c>
      <c r="G158" s="40">
        <f t="shared" si="47"/>
        <v>4070.5427877982493</v>
      </c>
      <c r="H158" s="360">
        <f t="shared" si="41"/>
        <v>10000000.000000006</v>
      </c>
      <c r="I158" s="365"/>
      <c r="J158" s="362">
        <f t="shared" si="48"/>
        <v>64340.301100034303</v>
      </c>
      <c r="K158" s="361"/>
      <c r="L158" s="360">
        <f t="shared" si="39"/>
        <v>20074.173943210702</v>
      </c>
      <c r="M158" s="361"/>
      <c r="N158" s="358">
        <f t="shared" si="49"/>
        <v>10000000</v>
      </c>
      <c r="O158" s="359"/>
      <c r="P158" s="9">
        <f t="shared" si="42"/>
        <v>9</v>
      </c>
      <c r="R158" s="40">
        <f t="shared" si="43"/>
        <v>3177.5958797648314</v>
      </c>
      <c r="S158" s="35">
        <f t="shared" si="40"/>
        <v>493873.33062436333</v>
      </c>
      <c r="T158" s="36">
        <f t="shared" si="44"/>
        <v>64340.301100034303</v>
      </c>
      <c r="V158"/>
      <c r="W158"/>
      <c r="X158" s="9">
        <v>110</v>
      </c>
      <c r="Y158" s="6">
        <v>10</v>
      </c>
    </row>
    <row r="159" spans="1:25" ht="20.25" customHeight="1" x14ac:dyDescent="0.35">
      <c r="A159" s="195" t="s">
        <v>360</v>
      </c>
      <c r="B159" s="60">
        <v>111</v>
      </c>
      <c r="C159" s="34">
        <f t="shared" si="38"/>
        <v>64340.301100034303</v>
      </c>
      <c r="D159" s="38">
        <f t="shared" si="50"/>
        <v>20.378383842627265</v>
      </c>
      <c r="E159" s="34">
        <f t="shared" si="45"/>
        <v>0</v>
      </c>
      <c r="F159" s="15">
        <f t="shared" si="46"/>
        <v>32767.482766203524</v>
      </c>
      <c r="G159" s="15">
        <f t="shared" si="47"/>
        <v>4095.9353457754405</v>
      </c>
      <c r="H159" s="363">
        <f t="shared" si="41"/>
        <v>10000000.000000004</v>
      </c>
      <c r="I159" s="364"/>
      <c r="J159" s="362">
        <f t="shared" si="48"/>
        <v>64340.301100034303</v>
      </c>
      <c r="K159" s="361"/>
      <c r="L159" s="360">
        <f t="shared" si="39"/>
        <v>20074.173943210702</v>
      </c>
      <c r="M159" s="361"/>
      <c r="N159" s="358">
        <f t="shared" si="49"/>
        <v>10000000</v>
      </c>
      <c r="O159" s="359"/>
      <c r="P159" s="9">
        <f t="shared" si="42"/>
        <v>9</v>
      </c>
      <c r="R159" s="40">
        <f t="shared" si="43"/>
        <v>3157.2818333830778</v>
      </c>
      <c r="S159" s="35">
        <f t="shared" si="40"/>
        <v>490716.04879098025</v>
      </c>
      <c r="T159" s="36">
        <f t="shared" si="44"/>
        <v>64340.301100034303</v>
      </c>
      <c r="V159"/>
      <c r="W159"/>
      <c r="X159" s="9">
        <v>111</v>
      </c>
      <c r="Y159" s="6">
        <v>10</v>
      </c>
    </row>
    <row r="160" spans="1:25" ht="20.25" customHeight="1" x14ac:dyDescent="0.35">
      <c r="A160" s="195" t="s">
        <v>361</v>
      </c>
      <c r="B160" s="63">
        <v>112</v>
      </c>
      <c r="C160" s="39">
        <f t="shared" si="38"/>
        <v>64340.301100034303</v>
      </c>
      <c r="D160" s="38">
        <f t="shared" si="50"/>
        <v>20.509498977863938</v>
      </c>
      <c r="E160" s="39">
        <f t="shared" si="45"/>
        <v>0</v>
      </c>
      <c r="F160" s="40">
        <f t="shared" si="46"/>
        <v>32969.324573753831</v>
      </c>
      <c r="G160" s="40">
        <f t="shared" si="47"/>
        <v>4121.1655717192289</v>
      </c>
      <c r="H160" s="360">
        <f t="shared" si="41"/>
        <v>10000000.000000006</v>
      </c>
      <c r="I160" s="365"/>
      <c r="J160" s="362">
        <f t="shared" si="48"/>
        <v>64340.301100034303</v>
      </c>
      <c r="K160" s="361"/>
      <c r="L160" s="360">
        <f t="shared" si="39"/>
        <v>20074.173943210702</v>
      </c>
      <c r="M160" s="361"/>
      <c r="N160" s="358">
        <f t="shared" si="49"/>
        <v>10000000</v>
      </c>
      <c r="O160" s="359"/>
      <c r="P160" s="9">
        <f t="shared" si="42"/>
        <v>9</v>
      </c>
      <c r="R160" s="40">
        <f t="shared" si="43"/>
        <v>3137.0976526280479</v>
      </c>
      <c r="S160" s="35">
        <f t="shared" si="40"/>
        <v>487578.95113835222</v>
      </c>
      <c r="T160" s="36">
        <f t="shared" si="44"/>
        <v>64340.301100034303</v>
      </c>
      <c r="V160"/>
      <c r="W160"/>
      <c r="X160" s="9">
        <v>112</v>
      </c>
      <c r="Y160" s="6">
        <v>10</v>
      </c>
    </row>
    <row r="161" spans="1:25" ht="20.25" customHeight="1" x14ac:dyDescent="0.35">
      <c r="A161" s="195" t="s">
        <v>360</v>
      </c>
      <c r="B161" s="60">
        <v>113</v>
      </c>
      <c r="C161" s="34">
        <f t="shared" si="38"/>
        <v>64340.301100034303</v>
      </c>
      <c r="D161" s="38">
        <f t="shared" si="50"/>
        <v>20.6414577118286</v>
      </c>
      <c r="E161" s="34">
        <f t="shared" si="45"/>
        <v>0</v>
      </c>
      <c r="F161" s="15">
        <f t="shared" si="46"/>
        <v>33169.876027213963</v>
      </c>
      <c r="G161" s="15">
        <f t="shared" si="47"/>
        <v>4146.2345034017453</v>
      </c>
      <c r="H161" s="363">
        <f t="shared" si="41"/>
        <v>10000000.000000006</v>
      </c>
      <c r="I161" s="364"/>
      <c r="J161" s="362">
        <f t="shared" si="48"/>
        <v>64340.301100034303</v>
      </c>
      <c r="K161" s="361"/>
      <c r="L161" s="360">
        <f t="shared" si="39"/>
        <v>20074.173943210702</v>
      </c>
      <c r="M161" s="361"/>
      <c r="N161" s="358">
        <f t="shared" si="49"/>
        <v>10000000</v>
      </c>
      <c r="O161" s="359"/>
      <c r="P161" s="9">
        <f t="shared" si="42"/>
        <v>9</v>
      </c>
      <c r="R161" s="40">
        <f t="shared" si="43"/>
        <v>3117.0425072820344</v>
      </c>
      <c r="S161" s="35">
        <f t="shared" si="40"/>
        <v>484461.90863107017</v>
      </c>
      <c r="T161" s="36">
        <f t="shared" si="44"/>
        <v>64340.301100034303</v>
      </c>
      <c r="V161"/>
      <c r="W161"/>
      <c r="X161" s="9">
        <v>113</v>
      </c>
      <c r="Y161" s="6">
        <v>10</v>
      </c>
    </row>
    <row r="162" spans="1:25" ht="20.25" customHeight="1" x14ac:dyDescent="0.35">
      <c r="A162" s="195" t="s">
        <v>361</v>
      </c>
      <c r="B162" s="63">
        <v>114</v>
      </c>
      <c r="C162" s="39">
        <f t="shared" si="38"/>
        <v>64340.301100034303</v>
      </c>
      <c r="D162" s="38">
        <f t="shared" si="50"/>
        <v>20.774265472260868</v>
      </c>
      <c r="E162" s="39">
        <f t="shared" si="45"/>
        <v>0</v>
      </c>
      <c r="F162" s="40">
        <f t="shared" si="46"/>
        <v>33369.145375686021</v>
      </c>
      <c r="G162" s="40">
        <f t="shared" si="47"/>
        <v>4171.1431719607526</v>
      </c>
      <c r="H162" s="360">
        <f t="shared" si="41"/>
        <v>10000000.000000006</v>
      </c>
      <c r="I162" s="365"/>
      <c r="J162" s="362">
        <f t="shared" si="48"/>
        <v>64340.301100034303</v>
      </c>
      <c r="K162" s="361"/>
      <c r="L162" s="360">
        <f t="shared" si="39"/>
        <v>20074.173943210702</v>
      </c>
      <c r="M162" s="361"/>
      <c r="N162" s="358">
        <f t="shared" si="49"/>
        <v>10000000</v>
      </c>
      <c r="O162" s="359"/>
      <c r="P162" s="9">
        <f t="shared" si="42"/>
        <v>9</v>
      </c>
      <c r="R162" s="40">
        <f t="shared" si="43"/>
        <v>3097.1155724348282</v>
      </c>
      <c r="S162" s="35">
        <f t="shared" si="40"/>
        <v>481364.79305863532</v>
      </c>
      <c r="T162" s="36">
        <f t="shared" si="44"/>
        <v>64340.301100034303</v>
      </c>
      <c r="V162"/>
      <c r="W162"/>
      <c r="X162" s="9">
        <v>114</v>
      </c>
      <c r="Y162" s="6">
        <v>10</v>
      </c>
    </row>
    <row r="163" spans="1:25" ht="20.25" customHeight="1" x14ac:dyDescent="0.35">
      <c r="A163" s="195" t="s">
        <v>360</v>
      </c>
      <c r="B163" s="60">
        <v>115</v>
      </c>
      <c r="C163" s="34">
        <f t="shared" si="38"/>
        <v>64340.301100034303</v>
      </c>
      <c r="D163" s="38">
        <f t="shared" si="50"/>
        <v>20.907927721822599</v>
      </c>
      <c r="E163" s="34">
        <f t="shared" si="45"/>
        <v>0</v>
      </c>
      <c r="F163" s="15">
        <f t="shared" si="46"/>
        <v>33567.140815536448</v>
      </c>
      <c r="G163" s="15">
        <f t="shared" si="47"/>
        <v>4195.892601942056</v>
      </c>
      <c r="H163" s="363">
        <f t="shared" si="41"/>
        <v>10000000.000000006</v>
      </c>
      <c r="I163" s="364"/>
      <c r="J163" s="362">
        <f t="shared" si="48"/>
        <v>64340.301100034303</v>
      </c>
      <c r="K163" s="361"/>
      <c r="L163" s="360">
        <f t="shared" si="39"/>
        <v>20074.173943210702</v>
      </c>
      <c r="M163" s="361"/>
      <c r="N163" s="358">
        <f t="shared" si="49"/>
        <v>10000000</v>
      </c>
      <c r="O163" s="359"/>
      <c r="P163" s="9">
        <f t="shared" si="42"/>
        <v>9</v>
      </c>
      <c r="R163" s="40">
        <f t="shared" si="43"/>
        <v>3077.3160284497862</v>
      </c>
      <c r="S163" s="35">
        <f t="shared" si="40"/>
        <v>478287.47703018552</v>
      </c>
      <c r="T163" s="36">
        <f t="shared" si="44"/>
        <v>64340.301100034303</v>
      </c>
      <c r="V163"/>
      <c r="W163"/>
      <c r="X163" s="9">
        <v>115</v>
      </c>
      <c r="Y163" s="6">
        <v>10</v>
      </c>
    </row>
    <row r="164" spans="1:25" ht="20.25" customHeight="1" x14ac:dyDescent="0.35">
      <c r="A164" s="195" t="s">
        <v>361</v>
      </c>
      <c r="B164" s="63">
        <v>116</v>
      </c>
      <c r="C164" s="39">
        <f t="shared" si="38"/>
        <v>64340.301100034303</v>
      </c>
      <c r="D164" s="38">
        <f t="shared" si="50"/>
        <v>21.042449958322582</v>
      </c>
      <c r="E164" s="39">
        <f t="shared" si="45"/>
        <v>0</v>
      </c>
      <c r="F164" s="40">
        <f t="shared" si="46"/>
        <v>33763.870490733119</v>
      </c>
      <c r="G164" s="40">
        <f t="shared" si="47"/>
        <v>4220.4838113416399</v>
      </c>
      <c r="H164" s="360">
        <f t="shared" si="41"/>
        <v>10000000.000000006</v>
      </c>
      <c r="I164" s="365"/>
      <c r="J164" s="362">
        <f t="shared" si="48"/>
        <v>64340.301100034303</v>
      </c>
      <c r="K164" s="361"/>
      <c r="L164" s="360">
        <f t="shared" si="39"/>
        <v>20074.173943210702</v>
      </c>
      <c r="M164" s="361"/>
      <c r="N164" s="358">
        <f t="shared" si="49"/>
        <v>10000000</v>
      </c>
      <c r="O164" s="359"/>
      <c r="P164" s="9">
        <f t="shared" si="42"/>
        <v>9</v>
      </c>
      <c r="R164" s="40">
        <f t="shared" si="43"/>
        <v>3057.6430609301183</v>
      </c>
      <c r="S164" s="35">
        <f t="shared" si="40"/>
        <v>475229.83396925539</v>
      </c>
      <c r="T164" s="36">
        <f t="shared" si="44"/>
        <v>64340.301100034303</v>
      </c>
      <c r="V164"/>
      <c r="W164"/>
      <c r="X164" s="9">
        <v>116</v>
      </c>
      <c r="Y164" s="6">
        <v>10</v>
      </c>
    </row>
    <row r="165" spans="1:25" ht="20.25" customHeight="1" x14ac:dyDescent="0.35">
      <c r="A165" s="195" t="s">
        <v>360</v>
      </c>
      <c r="B165" s="60">
        <v>117</v>
      </c>
      <c r="C165" s="34">
        <f t="shared" si="38"/>
        <v>64340.301100034303</v>
      </c>
      <c r="D165" s="38">
        <f t="shared" si="50"/>
        <v>21.177837714942669</v>
      </c>
      <c r="E165" s="34">
        <f t="shared" si="45"/>
        <v>0</v>
      </c>
      <c r="F165" s="15">
        <f t="shared" si="46"/>
        <v>33959.342493180382</v>
      </c>
      <c r="G165" s="15">
        <f t="shared" si="47"/>
        <v>4244.9178116475478</v>
      </c>
      <c r="H165" s="363">
        <f t="shared" si="41"/>
        <v>10000000.000000006</v>
      </c>
      <c r="I165" s="364"/>
      <c r="J165" s="362">
        <f t="shared" si="48"/>
        <v>64340.301100034303</v>
      </c>
      <c r="K165" s="361"/>
      <c r="L165" s="360">
        <f t="shared" si="39"/>
        <v>20074.173943210702</v>
      </c>
      <c r="M165" s="361"/>
      <c r="N165" s="358">
        <f t="shared" si="49"/>
        <v>10000000</v>
      </c>
      <c r="O165" s="359"/>
      <c r="P165" s="9">
        <f t="shared" si="42"/>
        <v>9</v>
      </c>
      <c r="R165" s="40">
        <f t="shared" si="43"/>
        <v>3038.0958606853919</v>
      </c>
      <c r="S165" s="35">
        <f t="shared" si="40"/>
        <v>472191.73810856999</v>
      </c>
      <c r="T165" s="36">
        <f t="shared" si="44"/>
        <v>64340.301100034303</v>
      </c>
      <c r="V165"/>
      <c r="W165"/>
      <c r="X165" s="9">
        <v>117</v>
      </c>
      <c r="Y165" s="6">
        <v>10</v>
      </c>
    </row>
    <row r="166" spans="1:25" ht="20.25" customHeight="1" x14ac:dyDescent="0.35">
      <c r="A166" s="195" t="s">
        <v>361</v>
      </c>
      <c r="B166" s="63">
        <v>118</v>
      </c>
      <c r="C166" s="39">
        <f t="shared" si="38"/>
        <v>64340.301100034303</v>
      </c>
      <c r="D166" s="38">
        <f t="shared" si="50"/>
        <v>21.314096560465376</v>
      </c>
      <c r="E166" s="39">
        <f t="shared" si="45"/>
        <v>0</v>
      </c>
      <c r="F166" s="40">
        <f t="shared" si="46"/>
        <v>34153.564863051863</v>
      </c>
      <c r="G166" s="40">
        <f t="shared" si="47"/>
        <v>4269.1956078814828</v>
      </c>
      <c r="H166" s="360">
        <f t="shared" si="41"/>
        <v>10000000.000000006</v>
      </c>
      <c r="I166" s="365"/>
      <c r="J166" s="362">
        <f t="shared" si="48"/>
        <v>64340.301100034303</v>
      </c>
      <c r="K166" s="361"/>
      <c r="L166" s="360">
        <f t="shared" si="39"/>
        <v>20074.173943210702</v>
      </c>
      <c r="M166" s="361"/>
      <c r="N166" s="358">
        <f t="shared" si="49"/>
        <v>10000000</v>
      </c>
      <c r="O166" s="359"/>
      <c r="P166" s="9">
        <f t="shared" si="42"/>
        <v>9</v>
      </c>
      <c r="R166" s="40">
        <f t="shared" si="43"/>
        <v>3018.6736236982442</v>
      </c>
      <c r="S166" s="35">
        <f t="shared" si="40"/>
        <v>469173.06448487175</v>
      </c>
      <c r="T166" s="36">
        <f t="shared" si="44"/>
        <v>64340.301100034303</v>
      </c>
      <c r="V166"/>
      <c r="W166"/>
      <c r="X166" s="9">
        <v>118</v>
      </c>
      <c r="Y166" s="6">
        <v>10</v>
      </c>
    </row>
    <row r="167" spans="1:25" ht="20.25" customHeight="1" x14ac:dyDescent="0.35">
      <c r="A167" s="195" t="s">
        <v>360</v>
      </c>
      <c r="B167" s="60">
        <v>119</v>
      </c>
      <c r="C167" s="34">
        <f t="shared" si="38"/>
        <v>64340.301100034303</v>
      </c>
      <c r="D167" s="38">
        <f t="shared" si="50"/>
        <v>21.451232099502931</v>
      </c>
      <c r="E167" s="34">
        <f t="shared" si="45"/>
        <v>0</v>
      </c>
      <c r="F167" s="15">
        <f t="shared" si="46"/>
        <v>34346.54558912116</v>
      </c>
      <c r="G167" s="15">
        <f t="shared" si="47"/>
        <v>4293.3181986401451</v>
      </c>
      <c r="H167" s="363">
        <f t="shared" si="41"/>
        <v>10000000.000000006</v>
      </c>
      <c r="I167" s="364"/>
      <c r="J167" s="362">
        <f t="shared" si="48"/>
        <v>64340.301100034303</v>
      </c>
      <c r="K167" s="361"/>
      <c r="L167" s="360">
        <f t="shared" si="39"/>
        <v>20074.173943210702</v>
      </c>
      <c r="M167" s="361"/>
      <c r="N167" s="358">
        <f t="shared" si="49"/>
        <v>10000000</v>
      </c>
      <c r="O167" s="359"/>
      <c r="P167" s="9">
        <f t="shared" si="42"/>
        <v>9</v>
      </c>
      <c r="R167" s="40">
        <f t="shared" si="43"/>
        <v>2999.3755510913147</v>
      </c>
      <c r="S167" s="35">
        <f t="shared" si="40"/>
        <v>466173.68893378042</v>
      </c>
      <c r="T167" s="36">
        <f t="shared" si="44"/>
        <v>64340.301100034303</v>
      </c>
      <c r="V167"/>
      <c r="W167"/>
      <c r="X167" s="9">
        <v>119</v>
      </c>
      <c r="Y167" s="6">
        <v>10</v>
      </c>
    </row>
    <row r="168" spans="1:25" ht="20.25" customHeight="1" x14ac:dyDescent="0.35">
      <c r="A168" s="195" t="s">
        <v>361</v>
      </c>
      <c r="B168" s="63">
        <v>120</v>
      </c>
      <c r="C168" s="39">
        <f t="shared" si="38"/>
        <v>64340.301100034303</v>
      </c>
      <c r="D168" s="38">
        <f t="shared" si="50"/>
        <v>21.589249972727806</v>
      </c>
      <c r="E168" s="39">
        <f t="shared" si="45"/>
        <v>0</v>
      </c>
      <c r="F168" s="40">
        <f t="shared" si="46"/>
        <v>34538.292609090473</v>
      </c>
      <c r="G168" s="40">
        <f t="shared" si="47"/>
        <v>4317.2865761363091</v>
      </c>
      <c r="H168" s="360">
        <f t="shared" si="41"/>
        <v>10000000.000000006</v>
      </c>
      <c r="I168" s="365"/>
      <c r="J168" s="362">
        <f t="shared" si="48"/>
        <v>64340.301100034303</v>
      </c>
      <c r="K168" s="361"/>
      <c r="L168" s="360">
        <f t="shared" si="39"/>
        <v>20074.173943210702</v>
      </c>
      <c r="M168" s="361"/>
      <c r="N168" s="358">
        <f t="shared" si="49"/>
        <v>10000000</v>
      </c>
      <c r="O168" s="359"/>
      <c r="P168" s="9">
        <f t="shared" si="42"/>
        <v>9</v>
      </c>
      <c r="R168" s="40">
        <f t="shared" si="43"/>
        <v>2980.2008490943836</v>
      </c>
      <c r="S168" s="35">
        <f t="shared" si="40"/>
        <v>463193.48808468605</v>
      </c>
      <c r="T168" s="36">
        <f t="shared" si="44"/>
        <v>64340.301100034303</v>
      </c>
      <c r="V168"/>
      <c r="W168"/>
      <c r="X168" s="9">
        <v>120</v>
      </c>
      <c r="Y168" s="6">
        <v>10</v>
      </c>
    </row>
    <row r="169" spans="1:25" ht="20.25" customHeight="1" x14ac:dyDescent="0.35">
      <c r="A169" s="195" t="s">
        <v>360</v>
      </c>
      <c r="B169" s="60">
        <v>121</v>
      </c>
      <c r="C169" s="34">
        <f t="shared" si="38"/>
        <v>64340.301100034303</v>
      </c>
      <c r="D169" s="38">
        <f t="shared" si="50"/>
        <v>21.728155857104728</v>
      </c>
      <c r="E169" s="34">
        <f t="shared" si="45"/>
        <v>0</v>
      </c>
      <c r="F169" s="15">
        <f t="shared" si="46"/>
        <v>34728.813809917068</v>
      </c>
      <c r="G169" s="15">
        <f t="shared" si="47"/>
        <v>4341.1017262396335</v>
      </c>
      <c r="H169" s="363">
        <f t="shared" si="41"/>
        <v>10000000.000000006</v>
      </c>
      <c r="I169" s="364"/>
      <c r="J169" s="362">
        <f t="shared" si="48"/>
        <v>64340.301100034303</v>
      </c>
      <c r="K169" s="361"/>
      <c r="L169" s="360">
        <f t="shared" si="39"/>
        <v>20074.173943210702</v>
      </c>
      <c r="M169" s="361"/>
      <c r="N169" s="358">
        <f t="shared" si="49"/>
        <v>10000000</v>
      </c>
      <c r="O169" s="359"/>
      <c r="P169" s="9">
        <f t="shared" si="42"/>
        <v>10</v>
      </c>
      <c r="R169" s="40">
        <f t="shared" si="43"/>
        <v>2961.1487290117238</v>
      </c>
      <c r="S169" s="35">
        <f t="shared" si="40"/>
        <v>460232.33935567434</v>
      </c>
      <c r="T169" s="36">
        <f t="shared" si="44"/>
        <v>64340.301100034303</v>
      </c>
      <c r="V169"/>
      <c r="W169"/>
      <c r="X169" s="9">
        <v>121</v>
      </c>
      <c r="Y169" s="6">
        <v>11</v>
      </c>
    </row>
    <row r="170" spans="1:25" ht="20.25" customHeight="1" x14ac:dyDescent="0.35">
      <c r="A170" s="195" t="s">
        <v>361</v>
      </c>
      <c r="B170" s="63">
        <v>122</v>
      </c>
      <c r="C170" s="39">
        <f t="shared" si="38"/>
        <v>64340.301100034303</v>
      </c>
      <c r="D170" s="38">
        <f t="shared" si="50"/>
        <v>21.867955466124187</v>
      </c>
      <c r="E170" s="39">
        <f t="shared" si="45"/>
        <v>0</v>
      </c>
      <c r="F170" s="40">
        <f t="shared" si="46"/>
        <v>34918.117028137713</v>
      </c>
      <c r="G170" s="40">
        <f t="shared" si="47"/>
        <v>4364.7646285172141</v>
      </c>
      <c r="H170" s="360">
        <f t="shared" si="41"/>
        <v>10000000.000000006</v>
      </c>
      <c r="I170" s="365"/>
      <c r="J170" s="362">
        <f t="shared" si="48"/>
        <v>64340.301100034303</v>
      </c>
      <c r="K170" s="361"/>
      <c r="L170" s="360">
        <f t="shared" si="39"/>
        <v>20074.173943210702</v>
      </c>
      <c r="M170" s="361"/>
      <c r="N170" s="358">
        <f t="shared" si="49"/>
        <v>10000000</v>
      </c>
      <c r="O170" s="359"/>
      <c r="P170" s="9">
        <f t="shared" si="42"/>
        <v>10</v>
      </c>
      <c r="R170" s="40">
        <f t="shared" si="43"/>
        <v>2942.218407189659</v>
      </c>
      <c r="S170" s="35">
        <f t="shared" si="40"/>
        <v>457290.12094848469</v>
      </c>
      <c r="T170" s="36">
        <f t="shared" si="44"/>
        <v>64340.301100034303</v>
      </c>
      <c r="V170"/>
      <c r="W170"/>
      <c r="X170" s="9">
        <v>122</v>
      </c>
      <c r="Y170" s="6">
        <v>11</v>
      </c>
    </row>
    <row r="171" spans="1:25" ht="20.25" customHeight="1" x14ac:dyDescent="0.35">
      <c r="A171" s="195" t="s">
        <v>360</v>
      </c>
      <c r="B171" s="60">
        <v>123</v>
      </c>
      <c r="C171" s="34">
        <f t="shared" si="38"/>
        <v>64340.301100034303</v>
      </c>
      <c r="D171" s="38">
        <f t="shared" si="50"/>
        <v>22.008654550037445</v>
      </c>
      <c r="E171" s="34">
        <f t="shared" si="45"/>
        <v>0</v>
      </c>
      <c r="F171" s="15">
        <f t="shared" si="46"/>
        <v>35106.210050190988</v>
      </c>
      <c r="G171" s="15">
        <f t="shared" si="47"/>
        <v>4388.2762562738735</v>
      </c>
      <c r="H171" s="363">
        <f t="shared" si="41"/>
        <v>10000000.000000007</v>
      </c>
      <c r="I171" s="364"/>
      <c r="J171" s="362">
        <f t="shared" si="48"/>
        <v>64340.301100034303</v>
      </c>
      <c r="K171" s="361"/>
      <c r="L171" s="360">
        <f t="shared" si="39"/>
        <v>20074.173943210702</v>
      </c>
      <c r="M171" s="361"/>
      <c r="N171" s="358">
        <f t="shared" si="49"/>
        <v>10000000</v>
      </c>
      <c r="O171" s="359"/>
      <c r="P171" s="9">
        <f t="shared" si="42"/>
        <v>10</v>
      </c>
      <c r="R171" s="40">
        <f t="shared" si="43"/>
        <v>2923.4091049843314</v>
      </c>
      <c r="S171" s="35">
        <f t="shared" si="40"/>
        <v>454366.71184350038</v>
      </c>
      <c r="T171" s="36">
        <f t="shared" si="44"/>
        <v>64340.301100034303</v>
      </c>
      <c r="V171"/>
      <c r="W171"/>
      <c r="X171" s="9">
        <v>123</v>
      </c>
      <c r="Y171" s="6">
        <v>11</v>
      </c>
    </row>
    <row r="172" spans="1:25" ht="20.25" customHeight="1" x14ac:dyDescent="0.35">
      <c r="A172" s="195" t="s">
        <v>361</v>
      </c>
      <c r="B172" s="63">
        <v>124</v>
      </c>
      <c r="C172" s="39">
        <f t="shared" si="38"/>
        <v>64340.301100034303</v>
      </c>
      <c r="D172" s="38">
        <f t="shared" si="50"/>
        <v>22.15025889609305</v>
      </c>
      <c r="E172" s="39">
        <f t="shared" si="45"/>
        <v>0</v>
      </c>
      <c r="F172" s="40">
        <f t="shared" si="46"/>
        <v>35293.100612737559</v>
      </c>
      <c r="G172" s="40">
        <f t="shared" si="47"/>
        <v>4411.6375765921948</v>
      </c>
      <c r="H172" s="360">
        <f t="shared" si="41"/>
        <v>10000000.000000007</v>
      </c>
      <c r="I172" s="365"/>
      <c r="J172" s="362">
        <f t="shared" si="48"/>
        <v>64340.301100034303</v>
      </c>
      <c r="K172" s="361"/>
      <c r="L172" s="360">
        <f t="shared" si="39"/>
        <v>20074.173943210702</v>
      </c>
      <c r="M172" s="361"/>
      <c r="N172" s="358">
        <f t="shared" si="49"/>
        <v>10000000</v>
      </c>
      <c r="O172" s="359"/>
      <c r="P172" s="9">
        <f t="shared" si="42"/>
        <v>10</v>
      </c>
      <c r="R172" s="40">
        <f t="shared" si="43"/>
        <v>2904.7200487296741</v>
      </c>
      <c r="S172" s="35">
        <f t="shared" si="40"/>
        <v>451461.9917947707</v>
      </c>
      <c r="T172" s="36">
        <f t="shared" si="44"/>
        <v>64340.301100034303</v>
      </c>
      <c r="V172"/>
      <c r="W172"/>
      <c r="X172" s="9">
        <v>124</v>
      </c>
      <c r="Y172" s="6">
        <v>11</v>
      </c>
    </row>
    <row r="173" spans="1:25" ht="20.25" customHeight="1" x14ac:dyDescent="0.35">
      <c r="A173" s="195" t="s">
        <v>360</v>
      </c>
      <c r="B173" s="60">
        <v>125</v>
      </c>
      <c r="C173" s="34">
        <f t="shared" ref="C173:C236" si="51">T173</f>
        <v>64340.301100034303</v>
      </c>
      <c r="D173" s="38">
        <f t="shared" si="50"/>
        <v>22.292774328774883</v>
      </c>
      <c r="E173" s="34">
        <f t="shared" si="45"/>
        <v>0</v>
      </c>
      <c r="F173" s="15">
        <f t="shared" si="46"/>
        <v>35478.79640297842</v>
      </c>
      <c r="G173" s="15">
        <f t="shared" si="47"/>
        <v>4434.8495503723025</v>
      </c>
      <c r="H173" s="363">
        <f t="shared" si="41"/>
        <v>10000000.000000007</v>
      </c>
      <c r="I173" s="364"/>
      <c r="J173" s="362">
        <f t="shared" si="48"/>
        <v>64340.301100034303</v>
      </c>
      <c r="K173" s="361"/>
      <c r="L173" s="360">
        <f t="shared" ref="L173:L236" si="52">J173*$H$8</f>
        <v>20074.173943210702</v>
      </c>
      <c r="M173" s="361"/>
      <c r="N173" s="358">
        <f t="shared" si="49"/>
        <v>10000000</v>
      </c>
      <c r="O173" s="359"/>
      <c r="P173" s="9">
        <f t="shared" si="42"/>
        <v>10</v>
      </c>
      <c r="R173" s="40">
        <f t="shared" si="43"/>
        <v>2886.150469705588</v>
      </c>
      <c r="S173" s="35">
        <f t="shared" ref="S173:S236" si="53">S172-R173</f>
        <v>448575.84132506512</v>
      </c>
      <c r="T173" s="36">
        <f t="shared" si="44"/>
        <v>64340.301100034303</v>
      </c>
      <c r="V173"/>
      <c r="W173"/>
      <c r="X173" s="9">
        <v>125</v>
      </c>
      <c r="Y173" s="6">
        <v>11</v>
      </c>
    </row>
    <row r="174" spans="1:25" ht="20.25" customHeight="1" x14ac:dyDescent="0.35">
      <c r="A174" s="195" t="s">
        <v>361</v>
      </c>
      <c r="B174" s="63">
        <v>126</v>
      </c>
      <c r="C174" s="39">
        <f t="shared" si="51"/>
        <v>64340.301100034303</v>
      </c>
      <c r="D174" s="38">
        <f t="shared" si="50"/>
        <v>22.436206710041731</v>
      </c>
      <c r="E174" s="39">
        <f t="shared" si="45"/>
        <v>0</v>
      </c>
      <c r="F174" s="40">
        <f t="shared" si="46"/>
        <v>35663.305058971069</v>
      </c>
      <c r="G174" s="40">
        <f t="shared" si="47"/>
        <v>4457.9131323713837</v>
      </c>
      <c r="H174" s="360">
        <f t="shared" si="41"/>
        <v>10000000.000000007</v>
      </c>
      <c r="I174" s="365"/>
      <c r="J174" s="362">
        <f t="shared" si="48"/>
        <v>64340.301100034303</v>
      </c>
      <c r="K174" s="361"/>
      <c r="L174" s="360">
        <f t="shared" si="52"/>
        <v>20074.173943210702</v>
      </c>
      <c r="M174" s="361"/>
      <c r="N174" s="358">
        <f t="shared" si="49"/>
        <v>10000000</v>
      </c>
      <c r="O174" s="359"/>
      <c r="P174" s="9">
        <f t="shared" si="42"/>
        <v>10</v>
      </c>
      <c r="R174" s="40">
        <f t="shared" si="43"/>
        <v>2867.699604106323</v>
      </c>
      <c r="S174" s="35">
        <f t="shared" si="53"/>
        <v>445708.14172095881</v>
      </c>
      <c r="T174" s="36">
        <f t="shared" si="44"/>
        <v>64340.301100034303</v>
      </c>
      <c r="V174"/>
      <c r="W174"/>
      <c r="X174" s="9">
        <v>126</v>
      </c>
      <c r="Y174" s="6">
        <v>11</v>
      </c>
    </row>
    <row r="175" spans="1:25" ht="20.25" customHeight="1" x14ac:dyDescent="0.35">
      <c r="A175" s="195" t="s">
        <v>360</v>
      </c>
      <c r="B175" s="60">
        <v>127</v>
      </c>
      <c r="C175" s="34">
        <f t="shared" si="51"/>
        <v>64340.301100034303</v>
      </c>
      <c r="D175" s="38">
        <f t="shared" si="50"/>
        <v>22.580561939568401</v>
      </c>
      <c r="E175" s="34">
        <f t="shared" si="45"/>
        <v>0</v>
      </c>
      <c r="F175" s="15">
        <f t="shared" si="46"/>
        <v>35846.634169943682</v>
      </c>
      <c r="G175" s="15">
        <f t="shared" si="47"/>
        <v>4480.8292712429602</v>
      </c>
      <c r="H175" s="363">
        <f t="shared" si="41"/>
        <v>10000000.000000007</v>
      </c>
      <c r="I175" s="364"/>
      <c r="J175" s="362">
        <f t="shared" si="48"/>
        <v>64340.301100034303</v>
      </c>
      <c r="K175" s="361"/>
      <c r="L175" s="360">
        <f t="shared" si="52"/>
        <v>20074.173943210702</v>
      </c>
      <c r="M175" s="361"/>
      <c r="N175" s="358">
        <f t="shared" si="49"/>
        <v>10000000</v>
      </c>
      <c r="O175" s="359"/>
      <c r="P175" s="9">
        <f t="shared" si="42"/>
        <v>10</v>
      </c>
      <c r="R175" s="40">
        <f t="shared" si="43"/>
        <v>2849.3666930090617</v>
      </c>
      <c r="S175" s="35">
        <f t="shared" si="53"/>
        <v>442858.77502794977</v>
      </c>
      <c r="T175" s="36">
        <f t="shared" si="44"/>
        <v>64340.301100034303</v>
      </c>
      <c r="V175"/>
      <c r="W175"/>
      <c r="X175" s="9">
        <v>127</v>
      </c>
      <c r="Y175" s="6">
        <v>11</v>
      </c>
    </row>
    <row r="176" spans="1:25" ht="20.25" customHeight="1" x14ac:dyDescent="0.35">
      <c r="A176" s="195" t="s">
        <v>361</v>
      </c>
      <c r="B176" s="63">
        <v>128</v>
      </c>
      <c r="C176" s="39">
        <f t="shared" si="51"/>
        <v>64340.301100034303</v>
      </c>
      <c r="D176" s="38">
        <f t="shared" si="50"/>
        <v>22.725845954988383</v>
      </c>
      <c r="E176" s="39">
        <f t="shared" si="45"/>
        <v>0</v>
      </c>
      <c r="F176" s="40">
        <f t="shared" si="46"/>
        <v>36028.791276607277</v>
      </c>
      <c r="G176" s="40">
        <f t="shared" si="47"/>
        <v>4503.5989095759096</v>
      </c>
      <c r="H176" s="360">
        <f t="shared" si="41"/>
        <v>10000000.000000007</v>
      </c>
      <c r="I176" s="365"/>
      <c r="J176" s="362">
        <f t="shared" si="48"/>
        <v>64340.301100034303</v>
      </c>
      <c r="K176" s="361"/>
      <c r="L176" s="360">
        <f t="shared" si="52"/>
        <v>20074.173943210702</v>
      </c>
      <c r="M176" s="361"/>
      <c r="N176" s="358">
        <f t="shared" si="49"/>
        <v>10000000</v>
      </c>
      <c r="O176" s="359"/>
      <c r="P176" s="9">
        <f t="shared" si="42"/>
        <v>10</v>
      </c>
      <c r="R176" s="40">
        <f t="shared" si="43"/>
        <v>2831.1509823427032</v>
      </c>
      <c r="S176" s="35">
        <f t="shared" si="53"/>
        <v>440027.62404560705</v>
      </c>
      <c r="T176" s="36">
        <f t="shared" si="44"/>
        <v>64340.301100034303</v>
      </c>
      <c r="V176"/>
      <c r="W176"/>
      <c r="X176" s="9">
        <v>128</v>
      </c>
      <c r="Y176" s="6">
        <v>11</v>
      </c>
    </row>
    <row r="177" spans="1:25" ht="20.25" customHeight="1" x14ac:dyDescent="0.35">
      <c r="A177" s="195" t="s">
        <v>360</v>
      </c>
      <c r="B177" s="60">
        <v>129</v>
      </c>
      <c r="C177" s="34">
        <f t="shared" si="51"/>
        <v>64340.301100034303</v>
      </c>
      <c r="D177" s="38">
        <f t="shared" si="50"/>
        <v>22.872064732138078</v>
      </c>
      <c r="E177" s="34">
        <f t="shared" si="45"/>
        <v>0</v>
      </c>
      <c r="F177" s="15">
        <f t="shared" si="46"/>
        <v>36209.783871465857</v>
      </c>
      <c r="G177" s="15">
        <f t="shared" si="47"/>
        <v>4526.2229839332322</v>
      </c>
      <c r="H177" s="363">
        <f t="shared" ref="H177:H240" si="54">S177*D177</f>
        <v>10000000.000000009</v>
      </c>
      <c r="I177" s="364"/>
      <c r="J177" s="362">
        <f t="shared" si="48"/>
        <v>64340.301100034303</v>
      </c>
      <c r="K177" s="361"/>
      <c r="L177" s="360">
        <f t="shared" si="52"/>
        <v>20074.173943210702</v>
      </c>
      <c r="M177" s="361"/>
      <c r="N177" s="358">
        <f t="shared" si="49"/>
        <v>10000000</v>
      </c>
      <c r="O177" s="359"/>
      <c r="P177" s="9">
        <f t="shared" ref="P177:P240" si="55">ROUNDUP(B177/12,0) - 1</f>
        <v>10</v>
      </c>
      <c r="R177" s="40">
        <f t="shared" ref="R177:R240" si="56">IF($X$16/D177&gt;S176,S176,$X$16/D177)</f>
        <v>2813.0517228568451</v>
      </c>
      <c r="S177" s="35">
        <f t="shared" si="53"/>
        <v>437214.57232275023</v>
      </c>
      <c r="T177" s="36">
        <f t="shared" ref="T177:T240" si="57">IF($X$16/D177&gt;S176,S176*D177,$X$16)</f>
        <v>64340.301100034303</v>
      </c>
      <c r="V177"/>
      <c r="W177"/>
      <c r="X177" s="9">
        <v>129</v>
      </c>
      <c r="Y177" s="6">
        <v>11</v>
      </c>
    </row>
    <row r="178" spans="1:25" ht="20.25" customHeight="1" x14ac:dyDescent="0.35">
      <c r="A178" s="195" t="s">
        <v>361</v>
      </c>
      <c r="B178" s="63">
        <v>130</v>
      </c>
      <c r="C178" s="39">
        <f t="shared" si="51"/>
        <v>64340.301100034303</v>
      </c>
      <c r="D178" s="38">
        <f t="shared" si="50"/>
        <v>23.019224285302602</v>
      </c>
      <c r="E178" s="39">
        <f t="shared" ref="E178:E241" si="58">IF(AND(OR($N$5="Other",$N$5="Debt"), B178&lt;24),R178*(D178-10), IF(AND($N$5="Equity", B178&lt;12),R178*(D178-10), 0))</f>
        <v>0</v>
      </c>
      <c r="F178" s="40">
        <f t="shared" ref="F178:F241" si="59">IF(AND(OR($N$5="Other",$N$5="Debt"), B178&gt;=24),R178*(D178-10), IF(AND($N$5="Equity", B178&gt;=12),R178*(D178-10),0))</f>
        <v>36389.619399124633</v>
      </c>
      <c r="G178" s="40">
        <f t="shared" ref="G178:G241" si="60">IF(AND($N$5="Equity", B178&lt; 12), E178*20%, IF(AND($N$5="Equity", B178&gt;= 12),F178*12.5%, IF(AND($N$5="Other", B178&lt;24),E178*$H$8, IF(AND($N$5="Other", B178&gt;=24),F178*12.5%,F178*$H$8))))</f>
        <v>4548.7024248905791</v>
      </c>
      <c r="H178" s="360">
        <f t="shared" si="54"/>
        <v>10000000.000000009</v>
      </c>
      <c r="I178" s="365"/>
      <c r="J178" s="362">
        <f t="shared" si="48"/>
        <v>64340.301100034303</v>
      </c>
      <c r="K178" s="361"/>
      <c r="L178" s="360">
        <f t="shared" si="52"/>
        <v>20074.173943210702</v>
      </c>
      <c r="M178" s="361"/>
      <c r="N178" s="358">
        <f t="shared" si="49"/>
        <v>10000000</v>
      </c>
      <c r="O178" s="359"/>
      <c r="P178" s="9">
        <f t="shared" si="55"/>
        <v>10</v>
      </c>
      <c r="R178" s="40">
        <f t="shared" si="56"/>
        <v>2795.0681700909677</v>
      </c>
      <c r="S178" s="35">
        <f t="shared" si="53"/>
        <v>434419.50415265927</v>
      </c>
      <c r="T178" s="36">
        <f t="shared" si="57"/>
        <v>64340.301100034303</v>
      </c>
      <c r="V178"/>
      <c r="W178"/>
      <c r="X178" s="9">
        <v>130</v>
      </c>
      <c r="Y178" s="6">
        <v>11</v>
      </c>
    </row>
    <row r="179" spans="1:25" ht="20.25" customHeight="1" x14ac:dyDescent="0.35">
      <c r="A179" s="195" t="s">
        <v>360</v>
      </c>
      <c r="B179" s="60">
        <v>131</v>
      </c>
      <c r="C179" s="34">
        <f t="shared" si="51"/>
        <v>64340.301100034303</v>
      </c>
      <c r="D179" s="38">
        <f t="shared" si="50"/>
        <v>23.167330667463162</v>
      </c>
      <c r="E179" s="34">
        <f t="shared" si="58"/>
        <v>0</v>
      </c>
      <c r="F179" s="15">
        <f t="shared" si="59"/>
        <v>36568.305256596199</v>
      </c>
      <c r="G179" s="15">
        <f t="shared" si="60"/>
        <v>4571.0381570745249</v>
      </c>
      <c r="H179" s="363">
        <f t="shared" si="54"/>
        <v>10000000.000000009</v>
      </c>
      <c r="I179" s="364"/>
      <c r="J179" s="362">
        <f t="shared" si="48"/>
        <v>64340.301100034303</v>
      </c>
      <c r="K179" s="361"/>
      <c r="L179" s="360">
        <f t="shared" si="52"/>
        <v>20074.173943210702</v>
      </c>
      <c r="M179" s="361"/>
      <c r="N179" s="358">
        <f t="shared" si="49"/>
        <v>10000000</v>
      </c>
      <c r="O179" s="359"/>
      <c r="P179" s="9">
        <f t="shared" si="55"/>
        <v>10</v>
      </c>
      <c r="R179" s="40">
        <f t="shared" si="56"/>
        <v>2777.1995843438103</v>
      </c>
      <c r="S179" s="35">
        <f t="shared" si="53"/>
        <v>431642.30456831545</v>
      </c>
      <c r="T179" s="36">
        <f t="shared" si="57"/>
        <v>64340.301100034303</v>
      </c>
      <c r="V179"/>
      <c r="W179"/>
      <c r="X179" s="9">
        <v>131</v>
      </c>
      <c r="Y179" s="6">
        <v>11</v>
      </c>
    </row>
    <row r="180" spans="1:25" ht="20.25" customHeight="1" x14ac:dyDescent="0.35">
      <c r="A180" s="195" t="s">
        <v>361</v>
      </c>
      <c r="B180" s="63">
        <v>132</v>
      </c>
      <c r="C180" s="39">
        <f t="shared" si="51"/>
        <v>64340.301100034303</v>
      </c>
      <c r="D180" s="38">
        <f t="shared" si="50"/>
        <v>23.316389970546027</v>
      </c>
      <c r="E180" s="39">
        <f t="shared" si="58"/>
        <v>0</v>
      </c>
      <c r="F180" s="40">
        <f t="shared" si="59"/>
        <v>36745.848793604819</v>
      </c>
      <c r="G180" s="40">
        <f t="shared" si="60"/>
        <v>4593.2310992006023</v>
      </c>
      <c r="H180" s="360">
        <f t="shared" si="54"/>
        <v>10000000.000000009</v>
      </c>
      <c r="I180" s="365"/>
      <c r="J180" s="362">
        <f t="shared" si="48"/>
        <v>64340.301100034303</v>
      </c>
      <c r="K180" s="361"/>
      <c r="L180" s="360">
        <f t="shared" si="52"/>
        <v>20074.173943210702</v>
      </c>
      <c r="M180" s="361"/>
      <c r="N180" s="358">
        <f t="shared" si="49"/>
        <v>10000000</v>
      </c>
      <c r="O180" s="359"/>
      <c r="P180" s="9">
        <f t="shared" si="55"/>
        <v>10</v>
      </c>
      <c r="R180" s="40">
        <f t="shared" si="56"/>
        <v>2759.445230642948</v>
      </c>
      <c r="S180" s="35">
        <f t="shared" si="53"/>
        <v>428882.85933767247</v>
      </c>
      <c r="T180" s="36">
        <f t="shared" si="57"/>
        <v>64340.301100034303</v>
      </c>
      <c r="V180"/>
      <c r="W180"/>
      <c r="X180" s="9">
        <v>132</v>
      </c>
      <c r="Y180" s="6">
        <v>11</v>
      </c>
    </row>
    <row r="181" spans="1:25" ht="20.25" customHeight="1" x14ac:dyDescent="0.35">
      <c r="A181" s="195" t="s">
        <v>360</v>
      </c>
      <c r="B181" s="60">
        <v>133</v>
      </c>
      <c r="C181" s="34">
        <f t="shared" si="51"/>
        <v>64340.301100034303</v>
      </c>
      <c r="D181" s="38">
        <f t="shared" si="50"/>
        <v>23.4664083256731</v>
      </c>
      <c r="E181" s="34">
        <f t="shared" si="58"/>
        <v>0</v>
      </c>
      <c r="F181" s="15">
        <f t="shared" si="59"/>
        <v>36922.257312888709</v>
      </c>
      <c r="G181" s="15">
        <f t="shared" si="60"/>
        <v>4615.2821641110886</v>
      </c>
      <c r="H181" s="363">
        <f t="shared" si="54"/>
        <v>10000000.000000007</v>
      </c>
      <c r="I181" s="364"/>
      <c r="J181" s="362">
        <f t="shared" si="48"/>
        <v>64340.301100034303</v>
      </c>
      <c r="K181" s="361"/>
      <c r="L181" s="360">
        <f t="shared" si="52"/>
        <v>20074.173943210702</v>
      </c>
      <c r="M181" s="361"/>
      <c r="N181" s="358">
        <f t="shared" si="49"/>
        <v>10000000</v>
      </c>
      <c r="O181" s="359"/>
      <c r="P181" s="9">
        <f t="shared" si="55"/>
        <v>11</v>
      </c>
      <c r="R181" s="40">
        <f t="shared" si="56"/>
        <v>2741.8043787145598</v>
      </c>
      <c r="S181" s="35">
        <f t="shared" si="53"/>
        <v>426141.05495895789</v>
      </c>
      <c r="T181" s="36">
        <f t="shared" si="57"/>
        <v>64340.301100034303</v>
      </c>
      <c r="V181"/>
      <c r="W181"/>
      <c r="X181" s="9">
        <v>133</v>
      </c>
      <c r="Y181" s="6">
        <v>12</v>
      </c>
    </row>
    <row r="182" spans="1:25" ht="20.25" customHeight="1" x14ac:dyDescent="0.35">
      <c r="A182" s="195" t="s">
        <v>361</v>
      </c>
      <c r="B182" s="63">
        <v>134</v>
      </c>
      <c r="C182" s="39">
        <f t="shared" si="51"/>
        <v>64340.301100034303</v>
      </c>
      <c r="D182" s="38">
        <f t="shared" si="50"/>
        <v>23.617391903414116</v>
      </c>
      <c r="E182" s="39">
        <f t="shared" si="58"/>
        <v>0</v>
      </c>
      <c r="F182" s="40">
        <f t="shared" si="59"/>
        <v>37097.538070500414</v>
      </c>
      <c r="G182" s="40">
        <f t="shared" si="60"/>
        <v>4637.1922588125517</v>
      </c>
      <c r="H182" s="360">
        <f t="shared" si="54"/>
        <v>10000000.000000007</v>
      </c>
      <c r="I182" s="365"/>
      <c r="J182" s="362">
        <f t="shared" si="48"/>
        <v>64340.301100034303</v>
      </c>
      <c r="K182" s="361"/>
      <c r="L182" s="360">
        <f t="shared" si="52"/>
        <v>20074.173943210702</v>
      </c>
      <c r="M182" s="361"/>
      <c r="N182" s="358">
        <f t="shared" si="49"/>
        <v>10000000</v>
      </c>
      <c r="O182" s="359"/>
      <c r="P182" s="9">
        <f t="shared" si="55"/>
        <v>11</v>
      </c>
      <c r="R182" s="40">
        <f t="shared" si="56"/>
        <v>2724.2763029533885</v>
      </c>
      <c r="S182" s="35">
        <f t="shared" si="53"/>
        <v>423416.77865600452</v>
      </c>
      <c r="T182" s="36">
        <f t="shared" si="57"/>
        <v>64340.301100034303</v>
      </c>
      <c r="V182"/>
      <c r="W182"/>
      <c r="X182" s="9">
        <v>134</v>
      </c>
      <c r="Y182" s="6">
        <v>12</v>
      </c>
    </row>
    <row r="183" spans="1:25" ht="20.25" customHeight="1" x14ac:dyDescent="0.35">
      <c r="A183" s="195" t="s">
        <v>360</v>
      </c>
      <c r="B183" s="60">
        <v>135</v>
      </c>
      <c r="C183" s="34">
        <f t="shared" si="51"/>
        <v>64340.301100034303</v>
      </c>
      <c r="D183" s="38">
        <f t="shared" si="50"/>
        <v>23.769346914040433</v>
      </c>
      <c r="E183" s="34">
        <f t="shared" si="58"/>
        <v>0</v>
      </c>
      <c r="F183" s="15">
        <f t="shared" si="59"/>
        <v>37271.6982761053</v>
      </c>
      <c r="G183" s="15">
        <f t="shared" si="60"/>
        <v>4658.9622845131626</v>
      </c>
      <c r="H183" s="363">
        <f t="shared" si="54"/>
        <v>10000000.000000007</v>
      </c>
      <c r="I183" s="364"/>
      <c r="J183" s="362">
        <f t="shared" si="48"/>
        <v>64340.301100034303</v>
      </c>
      <c r="K183" s="361"/>
      <c r="L183" s="360">
        <f t="shared" si="52"/>
        <v>20074.173943210702</v>
      </c>
      <c r="M183" s="361"/>
      <c r="N183" s="358">
        <f t="shared" si="49"/>
        <v>10000000</v>
      </c>
      <c r="O183" s="359"/>
      <c r="P183" s="9">
        <f t="shared" si="55"/>
        <v>11</v>
      </c>
      <c r="R183" s="40">
        <f t="shared" si="56"/>
        <v>2706.8602823929004</v>
      </c>
      <c r="S183" s="35">
        <f t="shared" si="53"/>
        <v>420709.91837361164</v>
      </c>
      <c r="T183" s="36">
        <f t="shared" si="57"/>
        <v>64340.301100034303</v>
      </c>
      <c r="V183"/>
      <c r="W183"/>
      <c r="X183" s="9">
        <v>135</v>
      </c>
      <c r="Y183" s="6">
        <v>12</v>
      </c>
    </row>
    <row r="184" spans="1:25" ht="20.25" customHeight="1" x14ac:dyDescent="0.35">
      <c r="A184" s="195" t="s">
        <v>361</v>
      </c>
      <c r="B184" s="63">
        <v>136</v>
      </c>
      <c r="C184" s="39">
        <f t="shared" si="51"/>
        <v>64340.301100034303</v>
      </c>
      <c r="D184" s="38">
        <f t="shared" si="50"/>
        <v>23.922279607780485</v>
      </c>
      <c r="E184" s="39">
        <f t="shared" si="58"/>
        <v>0</v>
      </c>
      <c r="F184" s="40">
        <f t="shared" si="59"/>
        <v>37444.745093278048</v>
      </c>
      <c r="G184" s="40">
        <f t="shared" si="60"/>
        <v>4680.5931366597561</v>
      </c>
      <c r="H184" s="360">
        <f t="shared" si="54"/>
        <v>10000000.000000007</v>
      </c>
      <c r="I184" s="365"/>
      <c r="J184" s="362">
        <f t="shared" si="48"/>
        <v>64340.301100034303</v>
      </c>
      <c r="K184" s="361"/>
      <c r="L184" s="360">
        <f t="shared" si="52"/>
        <v>20074.173943210702</v>
      </c>
      <c r="M184" s="361"/>
      <c r="N184" s="358">
        <f t="shared" si="49"/>
        <v>10000000</v>
      </c>
      <c r="O184" s="359"/>
      <c r="P184" s="9">
        <f t="shared" si="55"/>
        <v>11</v>
      </c>
      <c r="R184" s="40">
        <f t="shared" si="56"/>
        <v>2689.5556006756251</v>
      </c>
      <c r="S184" s="35">
        <f t="shared" si="53"/>
        <v>418020.362772936</v>
      </c>
      <c r="T184" s="36">
        <f t="shared" si="57"/>
        <v>64340.301100034303</v>
      </c>
      <c r="V184"/>
      <c r="W184"/>
      <c r="X184" s="9">
        <v>136</v>
      </c>
      <c r="Y184" s="6">
        <v>12</v>
      </c>
    </row>
    <row r="185" spans="1:25" ht="20.25" customHeight="1" x14ac:dyDescent="0.35">
      <c r="A185" s="195" t="s">
        <v>360</v>
      </c>
      <c r="B185" s="60">
        <v>137</v>
      </c>
      <c r="C185" s="34">
        <f t="shared" si="51"/>
        <v>64340.301100034303</v>
      </c>
      <c r="D185" s="38">
        <f t="shared" si="50"/>
        <v>24.076196275076867</v>
      </c>
      <c r="E185" s="34">
        <f t="shared" si="58"/>
        <v>0</v>
      </c>
      <c r="F185" s="15">
        <f t="shared" si="59"/>
        <v>37616.685639797368</v>
      </c>
      <c r="G185" s="15">
        <f t="shared" si="60"/>
        <v>4702.085704974671</v>
      </c>
      <c r="H185" s="363">
        <f t="shared" si="54"/>
        <v>10000000.000000007</v>
      </c>
      <c r="I185" s="364"/>
      <c r="J185" s="362">
        <f t="shared" si="48"/>
        <v>64340.301100034303</v>
      </c>
      <c r="K185" s="361"/>
      <c r="L185" s="360">
        <f t="shared" si="52"/>
        <v>20074.173943210702</v>
      </c>
      <c r="M185" s="361"/>
      <c r="N185" s="358">
        <f t="shared" si="49"/>
        <v>10000000</v>
      </c>
      <c r="O185" s="359"/>
      <c r="P185" s="9">
        <f t="shared" si="55"/>
        <v>11</v>
      </c>
      <c r="R185" s="40">
        <f t="shared" si="56"/>
        <v>2672.3615460236933</v>
      </c>
      <c r="S185" s="35">
        <f t="shared" si="53"/>
        <v>415348.00122691231</v>
      </c>
      <c r="T185" s="36">
        <f t="shared" si="57"/>
        <v>64340.301100034303</v>
      </c>
      <c r="V185"/>
      <c r="W185"/>
      <c r="X185" s="9">
        <v>137</v>
      </c>
      <c r="Y185" s="6">
        <v>12</v>
      </c>
    </row>
    <row r="186" spans="1:25" ht="20.25" customHeight="1" x14ac:dyDescent="0.35">
      <c r="A186" s="195" t="s">
        <v>361</v>
      </c>
      <c r="B186" s="63">
        <v>138</v>
      </c>
      <c r="C186" s="39">
        <f t="shared" si="51"/>
        <v>64340.301100034303</v>
      </c>
      <c r="D186" s="38">
        <f t="shared" si="50"/>
        <v>24.231103246845063</v>
      </c>
      <c r="E186" s="39">
        <f t="shared" si="58"/>
        <v>0</v>
      </c>
      <c r="F186" s="40">
        <f t="shared" si="59"/>
        <v>37787.526987938712</v>
      </c>
      <c r="G186" s="40">
        <f t="shared" si="60"/>
        <v>4723.4408734923391</v>
      </c>
      <c r="H186" s="360">
        <f t="shared" si="54"/>
        <v>10000000.000000007</v>
      </c>
      <c r="I186" s="365"/>
      <c r="J186" s="362">
        <f t="shared" si="48"/>
        <v>64340.301100034303</v>
      </c>
      <c r="K186" s="361"/>
      <c r="L186" s="360">
        <f t="shared" si="52"/>
        <v>20074.173943210702</v>
      </c>
      <c r="M186" s="361"/>
      <c r="N186" s="358">
        <f t="shared" si="49"/>
        <v>10000000</v>
      </c>
      <c r="O186" s="359"/>
      <c r="P186" s="9">
        <f t="shared" si="55"/>
        <v>11</v>
      </c>
      <c r="R186" s="40">
        <f t="shared" si="56"/>
        <v>2655.2774112095594</v>
      </c>
      <c r="S186" s="35">
        <f t="shared" si="53"/>
        <v>412692.72381570278</v>
      </c>
      <c r="T186" s="36">
        <f t="shared" si="57"/>
        <v>64340.301100034303</v>
      </c>
      <c r="V186"/>
      <c r="W186"/>
      <c r="X186" s="9">
        <v>138</v>
      </c>
      <c r="Y186" s="6">
        <v>12</v>
      </c>
    </row>
    <row r="187" spans="1:25" ht="20.25" customHeight="1" x14ac:dyDescent="0.35">
      <c r="A187" s="195" t="s">
        <v>360</v>
      </c>
      <c r="B187" s="60">
        <v>139</v>
      </c>
      <c r="C187" s="34">
        <f t="shared" si="51"/>
        <v>64340.301100034303</v>
      </c>
      <c r="D187" s="38">
        <f t="shared" si="50"/>
        <v>24.387006894733865</v>
      </c>
      <c r="E187" s="34">
        <f t="shared" si="58"/>
        <v>0</v>
      </c>
      <c r="F187" s="15">
        <f t="shared" si="59"/>
        <v>37957.276164765201</v>
      </c>
      <c r="G187" s="15">
        <f t="shared" si="60"/>
        <v>4744.6595205956501</v>
      </c>
      <c r="H187" s="363">
        <f t="shared" si="54"/>
        <v>10000000.000000009</v>
      </c>
      <c r="I187" s="364"/>
      <c r="J187" s="362">
        <f t="shared" si="48"/>
        <v>64340.301100034303</v>
      </c>
      <c r="K187" s="361"/>
      <c r="L187" s="360">
        <f t="shared" si="52"/>
        <v>20074.173943210702</v>
      </c>
      <c r="M187" s="361"/>
      <c r="N187" s="358">
        <f t="shared" si="49"/>
        <v>10000000</v>
      </c>
      <c r="O187" s="359"/>
      <c r="P187" s="9">
        <f t="shared" si="55"/>
        <v>11</v>
      </c>
      <c r="R187" s="40">
        <f t="shared" si="56"/>
        <v>2638.30249352691</v>
      </c>
      <c r="S187" s="35">
        <f t="shared" si="53"/>
        <v>410054.42132217588</v>
      </c>
      <c r="T187" s="36">
        <f t="shared" si="57"/>
        <v>64340.301100034303</v>
      </c>
      <c r="V187"/>
      <c r="W187"/>
      <c r="X187" s="9">
        <v>139</v>
      </c>
      <c r="Y187" s="6">
        <v>12</v>
      </c>
    </row>
    <row r="188" spans="1:25" ht="20.25" customHeight="1" x14ac:dyDescent="0.35">
      <c r="A188" s="195" t="s">
        <v>361</v>
      </c>
      <c r="B188" s="63">
        <v>140</v>
      </c>
      <c r="C188" s="39">
        <f t="shared" si="51"/>
        <v>64340.301100034303</v>
      </c>
      <c r="D188" s="38">
        <f t="shared" si="50"/>
        <v>24.543913631387444</v>
      </c>
      <c r="E188" s="39">
        <f t="shared" si="58"/>
        <v>0</v>
      </c>
      <c r="F188" s="40">
        <f t="shared" si="59"/>
        <v>38125.940152416668</v>
      </c>
      <c r="G188" s="40">
        <f t="shared" si="60"/>
        <v>4765.7425190520835</v>
      </c>
      <c r="H188" s="360">
        <f t="shared" si="54"/>
        <v>10000000.000000007</v>
      </c>
      <c r="I188" s="365"/>
      <c r="J188" s="362">
        <f t="shared" si="48"/>
        <v>64340.301100034303</v>
      </c>
      <c r="K188" s="361"/>
      <c r="L188" s="360">
        <f t="shared" si="52"/>
        <v>20074.173943210702</v>
      </c>
      <c r="M188" s="361"/>
      <c r="N188" s="358">
        <f t="shared" si="49"/>
        <v>10000000</v>
      </c>
      <c r="O188" s="359"/>
      <c r="P188" s="9">
        <f t="shared" si="55"/>
        <v>11</v>
      </c>
      <c r="R188" s="40">
        <f t="shared" si="56"/>
        <v>2621.4360947617629</v>
      </c>
      <c r="S188" s="35">
        <f t="shared" si="53"/>
        <v>407432.98522741412</v>
      </c>
      <c r="T188" s="36">
        <f t="shared" si="57"/>
        <v>64340.301100034303</v>
      </c>
      <c r="V188"/>
      <c r="W188"/>
      <c r="X188" s="9">
        <v>140</v>
      </c>
      <c r="Y188" s="6">
        <v>12</v>
      </c>
    </row>
    <row r="189" spans="1:25" ht="20.25" customHeight="1" x14ac:dyDescent="0.35">
      <c r="A189" s="195" t="s">
        <v>360</v>
      </c>
      <c r="B189" s="60">
        <v>141</v>
      </c>
      <c r="C189" s="34">
        <f t="shared" si="51"/>
        <v>64340.301100034303</v>
      </c>
      <c r="D189" s="38">
        <f t="shared" si="50"/>
        <v>24.701829910709115</v>
      </c>
      <c r="E189" s="34">
        <f t="shared" si="58"/>
        <v>0</v>
      </c>
      <c r="F189" s="15">
        <f t="shared" si="59"/>
        <v>38293.525888396842</v>
      </c>
      <c r="G189" s="15">
        <f t="shared" si="60"/>
        <v>4786.6907360496052</v>
      </c>
      <c r="H189" s="363">
        <f t="shared" si="54"/>
        <v>10000000.000000007</v>
      </c>
      <c r="I189" s="364"/>
      <c r="J189" s="362">
        <f t="shared" si="48"/>
        <v>64340.301100034303</v>
      </c>
      <c r="K189" s="361"/>
      <c r="L189" s="360">
        <f t="shared" si="52"/>
        <v>20074.173943210702</v>
      </c>
      <c r="M189" s="361"/>
      <c r="N189" s="358">
        <f t="shared" si="49"/>
        <v>10000000</v>
      </c>
      <c r="O189" s="359"/>
      <c r="P189" s="9">
        <f t="shared" si="55"/>
        <v>11</v>
      </c>
      <c r="R189" s="40">
        <f t="shared" si="56"/>
        <v>2604.6775211637464</v>
      </c>
      <c r="S189" s="35">
        <f t="shared" si="53"/>
        <v>404828.30770625034</v>
      </c>
      <c r="T189" s="36">
        <f t="shared" si="57"/>
        <v>64340.301100034303</v>
      </c>
      <c r="V189"/>
      <c r="W189"/>
      <c r="X189" s="9">
        <v>141</v>
      </c>
      <c r="Y189" s="6">
        <v>12</v>
      </c>
    </row>
    <row r="190" spans="1:25" ht="20.25" customHeight="1" x14ac:dyDescent="0.35">
      <c r="A190" s="195" t="s">
        <v>361</v>
      </c>
      <c r="B190" s="63">
        <v>142</v>
      </c>
      <c r="C190" s="39">
        <f t="shared" si="51"/>
        <v>64340.301100034303</v>
      </c>
      <c r="D190" s="38">
        <f t="shared" si="50"/>
        <v>24.860762228126802</v>
      </c>
      <c r="E190" s="39">
        <f t="shared" si="58"/>
        <v>0</v>
      </c>
      <c r="F190" s="40">
        <f t="shared" si="59"/>
        <v>38460.040265858668</v>
      </c>
      <c r="G190" s="40">
        <f t="shared" si="60"/>
        <v>4807.5050332323335</v>
      </c>
      <c r="H190" s="360">
        <f t="shared" si="54"/>
        <v>10000000.000000007</v>
      </c>
      <c r="I190" s="365"/>
      <c r="J190" s="362">
        <f t="shared" si="48"/>
        <v>64340.301100034303</v>
      </c>
      <c r="K190" s="361"/>
      <c r="L190" s="360">
        <f t="shared" si="52"/>
        <v>20074.173943210702</v>
      </c>
      <c r="M190" s="361"/>
      <c r="N190" s="358">
        <f t="shared" si="49"/>
        <v>10000000</v>
      </c>
      <c r="O190" s="359"/>
      <c r="P190" s="9">
        <f t="shared" si="55"/>
        <v>11</v>
      </c>
      <c r="R190" s="40">
        <f t="shared" si="56"/>
        <v>2588.0260834175633</v>
      </c>
      <c r="S190" s="35">
        <f t="shared" si="53"/>
        <v>402240.28162283276</v>
      </c>
      <c r="T190" s="36">
        <f t="shared" si="57"/>
        <v>64340.301100034303</v>
      </c>
      <c r="V190"/>
      <c r="W190"/>
      <c r="X190" s="9">
        <v>142</v>
      </c>
      <c r="Y190" s="6">
        <v>12</v>
      </c>
    </row>
    <row r="191" spans="1:25" ht="20.25" customHeight="1" x14ac:dyDescent="0.35">
      <c r="A191" s="195" t="s">
        <v>360</v>
      </c>
      <c r="B191" s="60">
        <v>143</v>
      </c>
      <c r="C191" s="34">
        <f t="shared" si="51"/>
        <v>64340.301100034303</v>
      </c>
      <c r="D191" s="38">
        <f t="shared" si="50"/>
        <v>25.020717120860205</v>
      </c>
      <c r="E191" s="34">
        <f t="shared" si="58"/>
        <v>0</v>
      </c>
      <c r="F191" s="15">
        <f t="shared" si="59"/>
        <v>38625.490133887899</v>
      </c>
      <c r="G191" s="15">
        <f t="shared" si="60"/>
        <v>4828.1862667359874</v>
      </c>
      <c r="H191" s="363">
        <f t="shared" si="54"/>
        <v>10000000.000000007</v>
      </c>
      <c r="I191" s="364"/>
      <c r="J191" s="362">
        <f t="shared" si="48"/>
        <v>64340.301100034303</v>
      </c>
      <c r="K191" s="361"/>
      <c r="L191" s="360">
        <f t="shared" si="52"/>
        <v>20074.173943210702</v>
      </c>
      <c r="M191" s="361"/>
      <c r="N191" s="358">
        <f t="shared" si="49"/>
        <v>10000000</v>
      </c>
      <c r="O191" s="359"/>
      <c r="P191" s="9">
        <f t="shared" si="55"/>
        <v>11</v>
      </c>
      <c r="R191" s="40">
        <f t="shared" si="56"/>
        <v>2571.4810966146401</v>
      </c>
      <c r="S191" s="35">
        <f t="shared" si="53"/>
        <v>399668.80052621814</v>
      </c>
      <c r="T191" s="36">
        <f t="shared" si="57"/>
        <v>64340.301100034303</v>
      </c>
      <c r="V191"/>
      <c r="W191"/>
      <c r="X191" s="9">
        <v>143</v>
      </c>
      <c r="Y191" s="6">
        <v>12</v>
      </c>
    </row>
    <row r="192" spans="1:25" ht="20.25" customHeight="1" x14ac:dyDescent="0.35">
      <c r="A192" s="195" t="s">
        <v>361</v>
      </c>
      <c r="B192" s="63">
        <v>144</v>
      </c>
      <c r="C192" s="39">
        <f t="shared" si="51"/>
        <v>64340.301100034303</v>
      </c>
      <c r="D192" s="38">
        <f t="shared" si="50"/>
        <v>25.181701168189697</v>
      </c>
      <c r="E192" s="39">
        <f t="shared" si="58"/>
        <v>0</v>
      </c>
      <c r="F192" s="40">
        <f t="shared" si="59"/>
        <v>38789.882297784774</v>
      </c>
      <c r="G192" s="40">
        <f t="shared" si="60"/>
        <v>4848.7352872230967</v>
      </c>
      <c r="H192" s="360">
        <f t="shared" si="54"/>
        <v>10000000.000000007</v>
      </c>
      <c r="I192" s="365"/>
      <c r="J192" s="362">
        <f t="shared" si="48"/>
        <v>64340.301100034303</v>
      </c>
      <c r="K192" s="361"/>
      <c r="L192" s="360">
        <f t="shared" si="52"/>
        <v>20074.173943210702</v>
      </c>
      <c r="M192" s="361"/>
      <c r="N192" s="358">
        <f t="shared" si="49"/>
        <v>10000000</v>
      </c>
      <c r="O192" s="359"/>
      <c r="P192" s="9">
        <f t="shared" si="55"/>
        <v>11</v>
      </c>
      <c r="R192" s="40">
        <f t="shared" si="56"/>
        <v>2555.0418802249533</v>
      </c>
      <c r="S192" s="35">
        <f t="shared" si="53"/>
        <v>397113.75864599319</v>
      </c>
      <c r="T192" s="36">
        <f t="shared" si="57"/>
        <v>64340.301100034303</v>
      </c>
      <c r="V192"/>
      <c r="W192"/>
      <c r="X192" s="9">
        <v>144</v>
      </c>
      <c r="Y192" s="6">
        <v>12</v>
      </c>
    </row>
    <row r="193" spans="1:25" ht="20.25" customHeight="1" x14ac:dyDescent="0.35">
      <c r="A193" s="195" t="s">
        <v>360</v>
      </c>
      <c r="B193" s="60">
        <v>145</v>
      </c>
      <c r="C193" s="34">
        <f t="shared" si="51"/>
        <v>64340.301100034303</v>
      </c>
      <c r="D193" s="38">
        <f t="shared" si="50"/>
        <v>25.34372099172694</v>
      </c>
      <c r="E193" s="34">
        <f t="shared" si="58"/>
        <v>0</v>
      </c>
      <c r="F193" s="15">
        <f t="shared" si="59"/>
        <v>38953.223519343926</v>
      </c>
      <c r="G193" s="15">
        <f t="shared" si="60"/>
        <v>4869.1529399179908</v>
      </c>
      <c r="H193" s="363">
        <f t="shared" si="54"/>
        <v>10000000.000000009</v>
      </c>
      <c r="I193" s="364"/>
      <c r="J193" s="362">
        <f t="shared" si="48"/>
        <v>64340.301100034303</v>
      </c>
      <c r="K193" s="361"/>
      <c r="L193" s="360">
        <f t="shared" si="52"/>
        <v>20074.173943210702</v>
      </c>
      <c r="M193" s="361"/>
      <c r="N193" s="358">
        <f t="shared" si="49"/>
        <v>10000000</v>
      </c>
      <c r="O193" s="359"/>
      <c r="P193" s="9">
        <f t="shared" si="55"/>
        <v>12</v>
      </c>
      <c r="R193" s="40">
        <f t="shared" si="56"/>
        <v>2538.7077580690375</v>
      </c>
      <c r="S193" s="35">
        <f t="shared" si="53"/>
        <v>394575.05088792415</v>
      </c>
      <c r="T193" s="36">
        <f t="shared" si="57"/>
        <v>64340.301100034303</v>
      </c>
      <c r="V193"/>
      <c r="W193"/>
      <c r="X193" s="9">
        <v>145</v>
      </c>
      <c r="Y193" s="6">
        <v>13</v>
      </c>
    </row>
    <row r="194" spans="1:25" ht="20.25" customHeight="1" x14ac:dyDescent="0.35">
      <c r="A194" s="195" t="s">
        <v>361</v>
      </c>
      <c r="B194" s="63">
        <v>146</v>
      </c>
      <c r="C194" s="39">
        <f t="shared" si="51"/>
        <v>64340.301100034303</v>
      </c>
      <c r="D194" s="38">
        <f t="shared" si="50"/>
        <v>25.506783255687235</v>
      </c>
      <c r="E194" s="39">
        <f t="shared" si="58"/>
        <v>0</v>
      </c>
      <c r="F194" s="40">
        <f t="shared" si="59"/>
        <v>39115.520517132551</v>
      </c>
      <c r="G194" s="40">
        <f t="shared" si="60"/>
        <v>4889.4400646415688</v>
      </c>
      <c r="H194" s="360">
        <f t="shared" si="54"/>
        <v>10000000.000000007</v>
      </c>
      <c r="I194" s="365"/>
      <c r="J194" s="362">
        <f t="shared" si="48"/>
        <v>64340.301100034303</v>
      </c>
      <c r="K194" s="361"/>
      <c r="L194" s="360">
        <f t="shared" si="52"/>
        <v>20074.173943210702</v>
      </c>
      <c r="M194" s="361"/>
      <c r="N194" s="358">
        <f t="shared" si="49"/>
        <v>10000000</v>
      </c>
      <c r="O194" s="359"/>
      <c r="P194" s="9">
        <f t="shared" si="55"/>
        <v>12</v>
      </c>
      <c r="R194" s="40">
        <f t="shared" si="56"/>
        <v>2522.4780582901758</v>
      </c>
      <c r="S194" s="35">
        <f t="shared" si="53"/>
        <v>392052.57282963395</v>
      </c>
      <c r="T194" s="36">
        <f t="shared" si="57"/>
        <v>64340.301100034303</v>
      </c>
      <c r="V194"/>
      <c r="W194"/>
      <c r="X194" s="9">
        <v>146</v>
      </c>
      <c r="Y194" s="6">
        <v>13</v>
      </c>
    </row>
    <row r="195" spans="1:25" ht="20.25" customHeight="1" x14ac:dyDescent="0.35">
      <c r="A195" s="195" t="s">
        <v>360</v>
      </c>
      <c r="B195" s="60">
        <v>147</v>
      </c>
      <c r="C195" s="34">
        <f t="shared" si="51"/>
        <v>64340.301100034303</v>
      </c>
      <c r="D195" s="38">
        <f t="shared" si="50"/>
        <v>25.670894667163658</v>
      </c>
      <c r="E195" s="34">
        <f t="shared" si="58"/>
        <v>0</v>
      </c>
      <c r="F195" s="15">
        <f t="shared" si="59"/>
        <v>39276.779966766691</v>
      </c>
      <c r="G195" s="15">
        <f t="shared" si="60"/>
        <v>4909.5974958458364</v>
      </c>
      <c r="H195" s="363">
        <f t="shared" si="54"/>
        <v>10000000.000000007</v>
      </c>
      <c r="I195" s="364"/>
      <c r="J195" s="362">
        <f t="shared" si="48"/>
        <v>64340.301100034303</v>
      </c>
      <c r="K195" s="361"/>
      <c r="L195" s="360">
        <f t="shared" si="52"/>
        <v>20074.173943210702</v>
      </c>
      <c r="M195" s="361"/>
      <c r="N195" s="358">
        <f t="shared" si="49"/>
        <v>10000000</v>
      </c>
      <c r="O195" s="359"/>
      <c r="P195" s="9">
        <f t="shared" si="55"/>
        <v>12</v>
      </c>
      <c r="R195" s="40">
        <f t="shared" si="56"/>
        <v>2506.3521133267604</v>
      </c>
      <c r="S195" s="35">
        <f t="shared" si="53"/>
        <v>389546.22071630717</v>
      </c>
      <c r="T195" s="36">
        <f t="shared" si="57"/>
        <v>64340.301100034303</v>
      </c>
      <c r="V195"/>
      <c r="W195"/>
      <c r="X195" s="9">
        <v>147</v>
      </c>
      <c r="Y195" s="6">
        <v>13</v>
      </c>
    </row>
    <row r="196" spans="1:25" ht="20.25" customHeight="1" x14ac:dyDescent="0.35">
      <c r="A196" s="195" t="s">
        <v>361</v>
      </c>
      <c r="B196" s="63">
        <v>148</v>
      </c>
      <c r="C196" s="39">
        <f t="shared" si="51"/>
        <v>64340.301100034303</v>
      </c>
      <c r="D196" s="38">
        <f t="shared" si="50"/>
        <v>25.836061976402917</v>
      </c>
      <c r="E196" s="39">
        <f t="shared" si="58"/>
        <v>0</v>
      </c>
      <c r="F196" s="40">
        <f t="shared" si="59"/>
        <v>39437.008501185912</v>
      </c>
      <c r="G196" s="40">
        <f t="shared" si="60"/>
        <v>4929.626062648239</v>
      </c>
      <c r="H196" s="360">
        <f t="shared" si="54"/>
        <v>10000000.000000007</v>
      </c>
      <c r="I196" s="365"/>
      <c r="J196" s="362">
        <f t="shared" si="48"/>
        <v>64340.301100034303</v>
      </c>
      <c r="K196" s="361"/>
      <c r="L196" s="360">
        <f t="shared" si="52"/>
        <v>20074.173943210702</v>
      </c>
      <c r="M196" s="361"/>
      <c r="N196" s="358">
        <f t="shared" si="49"/>
        <v>10000000</v>
      </c>
      <c r="O196" s="359"/>
      <c r="P196" s="9">
        <f t="shared" si="55"/>
        <v>12</v>
      </c>
      <c r="R196" s="40">
        <f t="shared" si="56"/>
        <v>2490.3292598848388</v>
      </c>
      <c r="S196" s="35">
        <f t="shared" si="53"/>
        <v>387055.89145642234</v>
      </c>
      <c r="T196" s="36">
        <f t="shared" si="57"/>
        <v>64340.301100034303</v>
      </c>
      <c r="V196"/>
      <c r="W196"/>
      <c r="X196" s="9">
        <v>148</v>
      </c>
      <c r="Y196" s="6">
        <v>13</v>
      </c>
    </row>
    <row r="197" spans="1:25" ht="20.25" customHeight="1" x14ac:dyDescent="0.35">
      <c r="A197" s="195" t="s">
        <v>360</v>
      </c>
      <c r="B197" s="60">
        <v>149</v>
      </c>
      <c r="C197" s="34">
        <f t="shared" si="51"/>
        <v>64340.301100034303</v>
      </c>
      <c r="D197" s="38">
        <f t="shared" si="50"/>
        <v>26.002291977083008</v>
      </c>
      <c r="E197" s="34">
        <f t="shared" si="58"/>
        <v>0</v>
      </c>
      <c r="F197" s="15">
        <f t="shared" si="59"/>
        <v>39596.212710926018</v>
      </c>
      <c r="G197" s="15">
        <f t="shared" si="60"/>
        <v>4949.5265888657523</v>
      </c>
      <c r="H197" s="363">
        <f t="shared" si="54"/>
        <v>10000000.000000007</v>
      </c>
      <c r="I197" s="364"/>
      <c r="J197" s="362">
        <f t="shared" si="48"/>
        <v>64340.301100034303</v>
      </c>
      <c r="K197" s="361"/>
      <c r="L197" s="360">
        <f t="shared" si="52"/>
        <v>20074.173943210702</v>
      </c>
      <c r="M197" s="361"/>
      <c r="N197" s="358">
        <f t="shared" si="49"/>
        <v>10000000</v>
      </c>
      <c r="O197" s="359"/>
      <c r="P197" s="9">
        <f t="shared" si="55"/>
        <v>12</v>
      </c>
      <c r="R197" s="40">
        <f t="shared" si="56"/>
        <v>2474.4088389108279</v>
      </c>
      <c r="S197" s="35">
        <f t="shared" si="53"/>
        <v>384581.48261751153</v>
      </c>
      <c r="T197" s="36">
        <f t="shared" si="57"/>
        <v>64340.301100034303</v>
      </c>
      <c r="V197"/>
      <c r="W197"/>
      <c r="X197" s="9">
        <v>149</v>
      </c>
      <c r="Y197" s="6">
        <v>13</v>
      </c>
    </row>
    <row r="198" spans="1:25" ht="20.25" customHeight="1" x14ac:dyDescent="0.35">
      <c r="A198" s="195" t="s">
        <v>361</v>
      </c>
      <c r="B198" s="63">
        <v>150</v>
      </c>
      <c r="C198" s="39">
        <f t="shared" si="51"/>
        <v>64340.301100034303</v>
      </c>
      <c r="D198" s="38">
        <f t="shared" si="50"/>
        <v>26.16959150659266</v>
      </c>
      <c r="E198" s="39">
        <f t="shared" si="58"/>
        <v>0</v>
      </c>
      <c r="F198" s="40">
        <f t="shared" si="59"/>
        <v>39754.399144390234</v>
      </c>
      <c r="G198" s="40">
        <f t="shared" si="60"/>
        <v>4969.2998930487793</v>
      </c>
      <c r="H198" s="360">
        <f t="shared" si="54"/>
        <v>10000000.000000007</v>
      </c>
      <c r="I198" s="365"/>
      <c r="J198" s="362">
        <f t="shared" si="48"/>
        <v>64340.301100034303</v>
      </c>
      <c r="K198" s="361"/>
      <c r="L198" s="360">
        <f t="shared" si="52"/>
        <v>20074.173943210702</v>
      </c>
      <c r="M198" s="361"/>
      <c r="N198" s="358">
        <f t="shared" si="49"/>
        <v>10000000</v>
      </c>
      <c r="O198" s="359"/>
      <c r="P198" s="9">
        <f t="shared" si="55"/>
        <v>12</v>
      </c>
      <c r="R198" s="40">
        <f t="shared" si="56"/>
        <v>2458.5901955644076</v>
      </c>
      <c r="S198" s="35">
        <f t="shared" si="53"/>
        <v>382122.89242194709</v>
      </c>
      <c r="T198" s="36">
        <f t="shared" si="57"/>
        <v>64340.301100034303</v>
      </c>
      <c r="V198"/>
      <c r="W198"/>
      <c r="X198" s="9">
        <v>150</v>
      </c>
      <c r="Y198" s="6">
        <v>13</v>
      </c>
    </row>
    <row r="199" spans="1:25" ht="20.25" customHeight="1" x14ac:dyDescent="0.35">
      <c r="A199" s="195" t="s">
        <v>360</v>
      </c>
      <c r="B199" s="60">
        <v>151</v>
      </c>
      <c r="C199" s="34">
        <f t="shared" si="51"/>
        <v>64340.301100034303</v>
      </c>
      <c r="D199" s="38">
        <f t="shared" si="50"/>
        <v>26.337967446312568</v>
      </c>
      <c r="E199" s="34">
        <f t="shared" si="58"/>
        <v>0</v>
      </c>
      <c r="F199" s="15">
        <f t="shared" si="59"/>
        <v>39911.574308118463</v>
      </c>
      <c r="G199" s="15">
        <f t="shared" si="60"/>
        <v>4988.9467885148078</v>
      </c>
      <c r="H199" s="363">
        <f t="shared" si="54"/>
        <v>10000000.000000007</v>
      </c>
      <c r="I199" s="364"/>
      <c r="J199" s="362">
        <f t="shared" si="48"/>
        <v>64340.301100034303</v>
      </c>
      <c r="K199" s="361"/>
      <c r="L199" s="360">
        <f t="shared" si="52"/>
        <v>20074.173943210702</v>
      </c>
      <c r="M199" s="361"/>
      <c r="N199" s="358">
        <f t="shared" si="49"/>
        <v>10000000</v>
      </c>
      <c r="O199" s="359"/>
      <c r="P199" s="9">
        <f t="shared" si="55"/>
        <v>12</v>
      </c>
      <c r="R199" s="40">
        <f t="shared" si="56"/>
        <v>2442.8726791915838</v>
      </c>
      <c r="S199" s="35">
        <f t="shared" si="53"/>
        <v>379680.01974275551</v>
      </c>
      <c r="T199" s="36">
        <f t="shared" si="57"/>
        <v>64340.301100034303</v>
      </c>
      <c r="V199"/>
      <c r="W199"/>
      <c r="X199" s="9">
        <v>151</v>
      </c>
      <c r="Y199" s="6">
        <v>13</v>
      </c>
    </row>
    <row r="200" spans="1:25" ht="20.25" customHeight="1" x14ac:dyDescent="0.35">
      <c r="A200" s="195" t="s">
        <v>361</v>
      </c>
      <c r="B200" s="63">
        <v>152</v>
      </c>
      <c r="C200" s="39">
        <f t="shared" si="51"/>
        <v>64340.301100034303</v>
      </c>
      <c r="D200" s="38">
        <f t="shared" si="50"/>
        <v>26.507426721898433</v>
      </c>
      <c r="E200" s="39">
        <f t="shared" si="58"/>
        <v>0</v>
      </c>
      <c r="F200" s="40">
        <f t="shared" si="59"/>
        <v>40067.744667055013</v>
      </c>
      <c r="G200" s="40">
        <f t="shared" si="60"/>
        <v>5008.4680833818766</v>
      </c>
      <c r="H200" s="360">
        <f t="shared" si="54"/>
        <v>10000000.000000007</v>
      </c>
      <c r="I200" s="365"/>
      <c r="J200" s="362">
        <f t="shared" si="48"/>
        <v>64340.301100034303</v>
      </c>
      <c r="K200" s="361"/>
      <c r="L200" s="360">
        <f t="shared" si="52"/>
        <v>20074.173943210702</v>
      </c>
      <c r="M200" s="361"/>
      <c r="N200" s="358">
        <f t="shared" si="49"/>
        <v>10000000</v>
      </c>
      <c r="O200" s="359"/>
      <c r="P200" s="9">
        <f t="shared" si="55"/>
        <v>12</v>
      </c>
      <c r="R200" s="40">
        <f t="shared" si="56"/>
        <v>2427.2556432979295</v>
      </c>
      <c r="S200" s="35">
        <f t="shared" si="53"/>
        <v>377252.76409945759</v>
      </c>
      <c r="T200" s="36">
        <f t="shared" si="57"/>
        <v>64340.301100034303</v>
      </c>
      <c r="V200"/>
      <c r="W200"/>
      <c r="X200" s="9">
        <v>152</v>
      </c>
      <c r="Y200" s="6">
        <v>13</v>
      </c>
    </row>
    <row r="201" spans="1:25" ht="20.25" customHeight="1" x14ac:dyDescent="0.35">
      <c r="A201" s="195" t="s">
        <v>360</v>
      </c>
      <c r="B201" s="60">
        <v>153</v>
      </c>
      <c r="C201" s="34">
        <f t="shared" si="51"/>
        <v>64340.301100034303</v>
      </c>
      <c r="D201" s="38">
        <f t="shared" si="50"/>
        <v>26.677976303565838</v>
      </c>
      <c r="E201" s="34">
        <f t="shared" si="58"/>
        <v>0</v>
      </c>
      <c r="F201" s="15">
        <f t="shared" si="59"/>
        <v>40222.916644814424</v>
      </c>
      <c r="G201" s="15">
        <f t="shared" si="60"/>
        <v>5027.864580601803</v>
      </c>
      <c r="H201" s="363">
        <f t="shared" si="54"/>
        <v>10000000.000000009</v>
      </c>
      <c r="I201" s="364"/>
      <c r="J201" s="362">
        <f t="shared" si="48"/>
        <v>64340.301100034303</v>
      </c>
      <c r="K201" s="361"/>
      <c r="L201" s="360">
        <f t="shared" si="52"/>
        <v>20074.173943210702</v>
      </c>
      <c r="M201" s="361"/>
      <c r="N201" s="358">
        <f t="shared" si="49"/>
        <v>10000000</v>
      </c>
      <c r="O201" s="359"/>
      <c r="P201" s="9">
        <f t="shared" si="55"/>
        <v>12</v>
      </c>
      <c r="R201" s="40">
        <f t="shared" si="56"/>
        <v>2411.7384455219881</v>
      </c>
      <c r="S201" s="35">
        <f t="shared" si="53"/>
        <v>374841.02565393562</v>
      </c>
      <c r="T201" s="36">
        <f t="shared" si="57"/>
        <v>64340.301100034303</v>
      </c>
      <c r="V201"/>
      <c r="W201"/>
      <c r="X201" s="9">
        <v>153</v>
      </c>
      <c r="Y201" s="6">
        <v>13</v>
      </c>
    </row>
    <row r="202" spans="1:25" ht="20.25" customHeight="1" x14ac:dyDescent="0.35">
      <c r="A202" s="195" t="s">
        <v>361</v>
      </c>
      <c r="B202" s="63">
        <v>154</v>
      </c>
      <c r="C202" s="39">
        <f t="shared" si="51"/>
        <v>64340.301100034303</v>
      </c>
      <c r="D202" s="38">
        <f t="shared" si="50"/>
        <v>26.84962320637694</v>
      </c>
      <c r="E202" s="39">
        <f t="shared" si="58"/>
        <v>0</v>
      </c>
      <c r="F202" s="40">
        <f t="shared" si="59"/>
        <v>40377.096623945748</v>
      </c>
      <c r="G202" s="40">
        <f t="shared" si="60"/>
        <v>5047.1370779932186</v>
      </c>
      <c r="H202" s="360">
        <f t="shared" si="54"/>
        <v>10000000.000000009</v>
      </c>
      <c r="I202" s="365"/>
      <c r="J202" s="362">
        <f t="shared" si="48"/>
        <v>64340.301100034303</v>
      </c>
      <c r="K202" s="361"/>
      <c r="L202" s="360">
        <f t="shared" si="52"/>
        <v>20074.173943210702</v>
      </c>
      <c r="M202" s="361"/>
      <c r="N202" s="358">
        <f t="shared" si="49"/>
        <v>10000000</v>
      </c>
      <c r="O202" s="359"/>
      <c r="P202" s="9">
        <f t="shared" si="55"/>
        <v>12</v>
      </c>
      <c r="R202" s="40">
        <f t="shared" si="56"/>
        <v>2396.3204476088554</v>
      </c>
      <c r="S202" s="35">
        <f t="shared" si="53"/>
        <v>372444.70520632679</v>
      </c>
      <c r="T202" s="36">
        <f t="shared" si="57"/>
        <v>64340.301100034303</v>
      </c>
      <c r="V202"/>
      <c r="W202"/>
      <c r="X202" s="9">
        <v>154</v>
      </c>
      <c r="Y202" s="6">
        <v>13</v>
      </c>
    </row>
    <row r="203" spans="1:25" ht="20.25" customHeight="1" x14ac:dyDescent="0.35">
      <c r="A203" s="195" t="s">
        <v>360</v>
      </c>
      <c r="B203" s="60">
        <v>155</v>
      </c>
      <c r="C203" s="34">
        <f t="shared" si="51"/>
        <v>64340.301100034303</v>
      </c>
      <c r="D203" s="38">
        <f t="shared" si="50"/>
        <v>27.022374490529018</v>
      </c>
      <c r="E203" s="34">
        <f t="shared" si="58"/>
        <v>0</v>
      </c>
      <c r="F203" s="15">
        <f t="shared" si="59"/>
        <v>40530.29094619504</v>
      </c>
      <c r="G203" s="15">
        <f t="shared" si="60"/>
        <v>5066.28636827438</v>
      </c>
      <c r="H203" s="363">
        <f t="shared" si="54"/>
        <v>10000000.000000011</v>
      </c>
      <c r="I203" s="364"/>
      <c r="J203" s="362">
        <f t="shared" si="48"/>
        <v>64340.301100034303</v>
      </c>
      <c r="K203" s="361"/>
      <c r="L203" s="360">
        <f t="shared" si="52"/>
        <v>20074.173943210702</v>
      </c>
      <c r="M203" s="361"/>
      <c r="N203" s="358">
        <f t="shared" si="49"/>
        <v>10000000</v>
      </c>
      <c r="O203" s="359"/>
      <c r="P203" s="9">
        <f t="shared" si="55"/>
        <v>12</v>
      </c>
      <c r="R203" s="40">
        <f t="shared" si="56"/>
        <v>2381.0010153839266</v>
      </c>
      <c r="S203" s="35">
        <f t="shared" si="53"/>
        <v>370063.70419094287</v>
      </c>
      <c r="T203" s="36">
        <f t="shared" si="57"/>
        <v>64340.301100034303</v>
      </c>
      <c r="V203"/>
      <c r="W203"/>
      <c r="X203" s="9">
        <v>155</v>
      </c>
      <c r="Y203" s="6">
        <v>13</v>
      </c>
    </row>
    <row r="204" spans="1:25" ht="20.25" customHeight="1" x14ac:dyDescent="0.35">
      <c r="A204" s="195" t="s">
        <v>361</v>
      </c>
      <c r="B204" s="63">
        <v>156</v>
      </c>
      <c r="C204" s="39">
        <f t="shared" si="51"/>
        <v>64340.301100034303</v>
      </c>
      <c r="D204" s="38">
        <f t="shared" si="50"/>
        <v>27.196237261644871</v>
      </c>
      <c r="E204" s="39">
        <f t="shared" si="58"/>
        <v>0</v>
      </c>
      <c r="F204" s="40">
        <f t="shared" si="59"/>
        <v>40682.50591276621</v>
      </c>
      <c r="G204" s="40">
        <f t="shared" si="60"/>
        <v>5085.3132390957762</v>
      </c>
      <c r="H204" s="360">
        <f t="shared" si="54"/>
        <v>10000000.000000011</v>
      </c>
      <c r="I204" s="365"/>
      <c r="J204" s="362">
        <f t="shared" si="48"/>
        <v>64340.301100034303</v>
      </c>
      <c r="K204" s="361"/>
      <c r="L204" s="360">
        <f t="shared" si="52"/>
        <v>20074.173943210702</v>
      </c>
      <c r="M204" s="361"/>
      <c r="N204" s="358">
        <f t="shared" si="49"/>
        <v>10000000</v>
      </c>
      <c r="O204" s="359"/>
      <c r="P204" s="9">
        <f t="shared" si="55"/>
        <v>12</v>
      </c>
      <c r="R204" s="40">
        <f t="shared" si="56"/>
        <v>2365.7795187268084</v>
      </c>
      <c r="S204" s="35">
        <f t="shared" si="53"/>
        <v>367697.92467221606</v>
      </c>
      <c r="T204" s="36">
        <f t="shared" si="57"/>
        <v>64340.301100034303</v>
      </c>
      <c r="V204"/>
      <c r="W204"/>
      <c r="X204" s="9">
        <v>156</v>
      </c>
      <c r="Y204" s="6">
        <v>13</v>
      </c>
    </row>
    <row r="205" spans="1:25" ht="20.25" customHeight="1" x14ac:dyDescent="0.35">
      <c r="A205" s="195" t="s">
        <v>360</v>
      </c>
      <c r="B205" s="60">
        <v>157</v>
      </c>
      <c r="C205" s="34">
        <f t="shared" si="51"/>
        <v>64340.301100034303</v>
      </c>
      <c r="D205" s="38">
        <f t="shared" si="50"/>
        <v>27.37121867106509</v>
      </c>
      <c r="E205" s="34">
        <f t="shared" si="58"/>
        <v>0</v>
      </c>
      <c r="F205" s="15">
        <f t="shared" si="59"/>
        <v>40833.747784580242</v>
      </c>
      <c r="G205" s="15">
        <f t="shared" si="60"/>
        <v>5104.2184730725303</v>
      </c>
      <c r="H205" s="363">
        <f t="shared" si="54"/>
        <v>10000000.000000011</v>
      </c>
      <c r="I205" s="364"/>
      <c r="J205" s="362">
        <f t="shared" si="48"/>
        <v>64340.301100034303</v>
      </c>
      <c r="K205" s="361"/>
      <c r="L205" s="360">
        <f t="shared" si="52"/>
        <v>20074.173943210702</v>
      </c>
      <c r="M205" s="361"/>
      <c r="N205" s="358">
        <f t="shared" si="49"/>
        <v>10000000</v>
      </c>
      <c r="O205" s="359"/>
      <c r="P205" s="9">
        <f t="shared" si="55"/>
        <v>13</v>
      </c>
      <c r="R205" s="40">
        <f t="shared" si="56"/>
        <v>2350.6553315454053</v>
      </c>
      <c r="S205" s="35">
        <f t="shared" si="53"/>
        <v>365347.26934067067</v>
      </c>
      <c r="T205" s="36">
        <f t="shared" si="57"/>
        <v>64340.301100034303</v>
      </c>
      <c r="V205"/>
      <c r="W205"/>
      <c r="X205" s="9">
        <v>157</v>
      </c>
      <c r="Y205" s="6">
        <v>14</v>
      </c>
    </row>
    <row r="206" spans="1:25" ht="20.25" customHeight="1" x14ac:dyDescent="0.35">
      <c r="A206" s="195" t="s">
        <v>361</v>
      </c>
      <c r="B206" s="63">
        <v>158</v>
      </c>
      <c r="C206" s="39">
        <f t="shared" si="51"/>
        <v>64340.301100034303</v>
      </c>
      <c r="D206" s="38">
        <f t="shared" si="50"/>
        <v>27.54732591614221</v>
      </c>
      <c r="E206" s="39">
        <f t="shared" si="58"/>
        <v>0</v>
      </c>
      <c r="F206" s="40">
        <f t="shared" si="59"/>
        <v>40984.022782532673</v>
      </c>
      <c r="G206" s="40">
        <f t="shared" si="60"/>
        <v>5123.0028478165841</v>
      </c>
      <c r="H206" s="360">
        <f t="shared" si="54"/>
        <v>10000000.000000011</v>
      </c>
      <c r="I206" s="365"/>
      <c r="J206" s="362">
        <f t="shared" si="48"/>
        <v>64340.301100034303</v>
      </c>
      <c r="K206" s="361"/>
      <c r="L206" s="360">
        <f t="shared" si="52"/>
        <v>20074.173943210702</v>
      </c>
      <c r="M206" s="361"/>
      <c r="N206" s="358">
        <f t="shared" si="49"/>
        <v>10000000</v>
      </c>
      <c r="O206" s="359"/>
      <c r="P206" s="9">
        <f t="shared" si="55"/>
        <v>13</v>
      </c>
      <c r="R206" s="40">
        <f t="shared" si="56"/>
        <v>2335.6278317501628</v>
      </c>
      <c r="S206" s="35">
        <f t="shared" si="53"/>
        <v>363011.64150892053</v>
      </c>
      <c r="T206" s="36">
        <f t="shared" si="57"/>
        <v>64340.301100034303</v>
      </c>
      <c r="V206"/>
      <c r="W206"/>
      <c r="X206" s="9">
        <v>158</v>
      </c>
      <c r="Y206" s="6">
        <v>14</v>
      </c>
    </row>
    <row r="207" spans="1:25" ht="20.25" customHeight="1" x14ac:dyDescent="0.35">
      <c r="A207" s="195" t="s">
        <v>360</v>
      </c>
      <c r="B207" s="60">
        <v>159</v>
      </c>
      <c r="C207" s="34">
        <f t="shared" si="51"/>
        <v>64340.301100034303</v>
      </c>
      <c r="D207" s="38">
        <f t="shared" si="50"/>
        <v>27.724566240536745</v>
      </c>
      <c r="E207" s="34">
        <f t="shared" si="58"/>
        <v>0</v>
      </c>
      <c r="F207" s="15">
        <f t="shared" si="59"/>
        <v>41133.337087749482</v>
      </c>
      <c r="G207" s="15">
        <f t="shared" si="60"/>
        <v>5141.6671359686852</v>
      </c>
      <c r="H207" s="363">
        <f t="shared" si="54"/>
        <v>10000000.000000011</v>
      </c>
      <c r="I207" s="364"/>
      <c r="J207" s="362">
        <f t="shared" si="48"/>
        <v>64340.301100034303</v>
      </c>
      <c r="K207" s="361"/>
      <c r="L207" s="360">
        <f t="shared" si="52"/>
        <v>20074.173943210702</v>
      </c>
      <c r="M207" s="361"/>
      <c r="N207" s="358">
        <f t="shared" si="49"/>
        <v>10000000</v>
      </c>
      <c r="O207" s="359"/>
      <c r="P207" s="9">
        <f t="shared" si="55"/>
        <v>13</v>
      </c>
      <c r="R207" s="40">
        <f t="shared" si="56"/>
        <v>2320.6964012284825</v>
      </c>
      <c r="S207" s="35">
        <f t="shared" si="53"/>
        <v>360690.94510769204</v>
      </c>
      <c r="T207" s="36">
        <f t="shared" si="57"/>
        <v>64340.301100034303</v>
      </c>
      <c r="V207"/>
      <c r="W207"/>
      <c r="X207" s="9">
        <v>159</v>
      </c>
      <c r="Y207" s="6">
        <v>14</v>
      </c>
    </row>
    <row r="208" spans="1:25" ht="20.25" customHeight="1" x14ac:dyDescent="0.35">
      <c r="A208" s="195" t="s">
        <v>361</v>
      </c>
      <c r="B208" s="63">
        <v>160</v>
      </c>
      <c r="C208" s="39">
        <f t="shared" si="51"/>
        <v>64340.301100034303</v>
      </c>
      <c r="D208" s="38">
        <f t="shared" si="50"/>
        <v>27.902946934515143</v>
      </c>
      <c r="E208" s="39">
        <f t="shared" si="58"/>
        <v>0</v>
      </c>
      <c r="F208" s="40">
        <f t="shared" si="59"/>
        <v>41281.696841841345</v>
      </c>
      <c r="G208" s="40">
        <f t="shared" si="60"/>
        <v>5160.2121052301682</v>
      </c>
      <c r="H208" s="360">
        <f t="shared" si="54"/>
        <v>10000000.000000011</v>
      </c>
      <c r="I208" s="365"/>
      <c r="J208" s="362">
        <f t="shared" si="48"/>
        <v>64340.301100034303</v>
      </c>
      <c r="K208" s="361"/>
      <c r="L208" s="360">
        <f t="shared" si="52"/>
        <v>20074.173943210702</v>
      </c>
      <c r="M208" s="361"/>
      <c r="N208" s="358">
        <f t="shared" si="49"/>
        <v>10000000</v>
      </c>
      <c r="O208" s="359"/>
      <c r="P208" s="9">
        <f t="shared" si="55"/>
        <v>13</v>
      </c>
      <c r="R208" s="40">
        <f t="shared" si="56"/>
        <v>2305.8604258192959</v>
      </c>
      <c r="S208" s="35">
        <f t="shared" si="53"/>
        <v>358385.08468187274</v>
      </c>
      <c r="T208" s="36">
        <f t="shared" si="57"/>
        <v>64340.301100034303</v>
      </c>
      <c r="V208"/>
      <c r="W208"/>
      <c r="X208" s="9">
        <v>160</v>
      </c>
      <c r="Y208" s="6">
        <v>14</v>
      </c>
    </row>
    <row r="209" spans="1:25" ht="20.25" customHeight="1" x14ac:dyDescent="0.35">
      <c r="A209" s="195" t="s">
        <v>360</v>
      </c>
      <c r="B209" s="60">
        <v>161</v>
      </c>
      <c r="C209" s="34">
        <f t="shared" si="51"/>
        <v>64340.301100034303</v>
      </c>
      <c r="D209" s="38">
        <f t="shared" si="50"/>
        <v>28.08247533524964</v>
      </c>
      <c r="E209" s="34">
        <f t="shared" si="58"/>
        <v>0</v>
      </c>
      <c r="F209" s="15">
        <f t="shared" si="59"/>
        <v>41429.108147156265</v>
      </c>
      <c r="G209" s="15">
        <f t="shared" si="60"/>
        <v>5178.6385183945331</v>
      </c>
      <c r="H209" s="363">
        <f t="shared" si="54"/>
        <v>10000000.000000009</v>
      </c>
      <c r="I209" s="364"/>
      <c r="J209" s="362">
        <f t="shared" ref="J209:J272" si="61">$H$5*((1+$H$7)^(1/12)-1)</f>
        <v>64340.301100034303</v>
      </c>
      <c r="K209" s="361"/>
      <c r="L209" s="360">
        <f t="shared" si="52"/>
        <v>20074.173943210702</v>
      </c>
      <c r="M209" s="361"/>
      <c r="N209" s="358">
        <f t="shared" ref="N209:N272" si="62">$H$5</f>
        <v>10000000</v>
      </c>
      <c r="O209" s="359"/>
      <c r="P209" s="9">
        <f t="shared" si="55"/>
        <v>13</v>
      </c>
      <c r="R209" s="40">
        <f t="shared" si="56"/>
        <v>2291.1192952878046</v>
      </c>
      <c r="S209" s="35">
        <f t="shared" si="53"/>
        <v>356093.96538658492</v>
      </c>
      <c r="T209" s="36">
        <f t="shared" si="57"/>
        <v>64340.301100034303</v>
      </c>
      <c r="V209"/>
      <c r="W209"/>
      <c r="X209" s="9">
        <v>161</v>
      </c>
      <c r="Y209" s="6">
        <v>14</v>
      </c>
    </row>
    <row r="210" spans="1:25" ht="20.25" customHeight="1" x14ac:dyDescent="0.35">
      <c r="A210" s="195" t="s">
        <v>361</v>
      </c>
      <c r="B210" s="63">
        <v>162</v>
      </c>
      <c r="C210" s="39">
        <f t="shared" si="51"/>
        <v>64340.301100034303</v>
      </c>
      <c r="D210" s="38">
        <f t="shared" ref="D210:D273" si="63">D209*(1+(1+$H$6)^(1/12)-1)</f>
        <v>28.263158827120066</v>
      </c>
      <c r="E210" s="39">
        <f t="shared" si="58"/>
        <v>0</v>
      </c>
      <c r="F210" s="40">
        <f t="shared" si="59"/>
        <v>41575.577067030521</v>
      </c>
      <c r="G210" s="40">
        <f t="shared" si="60"/>
        <v>5196.9471333788151</v>
      </c>
      <c r="H210" s="360">
        <f t="shared" si="54"/>
        <v>10000000.000000009</v>
      </c>
      <c r="I210" s="365"/>
      <c r="J210" s="362">
        <f t="shared" si="61"/>
        <v>64340.301100034303</v>
      </c>
      <c r="K210" s="361"/>
      <c r="L210" s="360">
        <f t="shared" si="52"/>
        <v>20074.173943210702</v>
      </c>
      <c r="M210" s="361"/>
      <c r="N210" s="358">
        <f t="shared" si="62"/>
        <v>10000000</v>
      </c>
      <c r="O210" s="359"/>
      <c r="P210" s="9">
        <f t="shared" si="55"/>
        <v>13</v>
      </c>
      <c r="R210" s="40">
        <f t="shared" si="56"/>
        <v>2276.4724033003777</v>
      </c>
      <c r="S210" s="35">
        <f t="shared" si="53"/>
        <v>353817.49298328452</v>
      </c>
      <c r="T210" s="36">
        <f t="shared" si="57"/>
        <v>64340.301100034303</v>
      </c>
      <c r="V210"/>
      <c r="W210"/>
      <c r="X210" s="9">
        <v>162</v>
      </c>
      <c r="Y210" s="6">
        <v>14</v>
      </c>
    </row>
    <row r="211" spans="1:25" ht="20.25" customHeight="1" x14ac:dyDescent="0.35">
      <c r="A211" s="195" t="s">
        <v>360</v>
      </c>
      <c r="B211" s="60">
        <v>163</v>
      </c>
      <c r="C211" s="34">
        <f t="shared" si="51"/>
        <v>64340.301100034303</v>
      </c>
      <c r="D211" s="38">
        <f t="shared" si="63"/>
        <v>28.445004842017564</v>
      </c>
      <c r="E211" s="34">
        <f t="shared" si="58"/>
        <v>0</v>
      </c>
      <c r="F211" s="15">
        <f t="shared" si="59"/>
        <v>41721.109626038153</v>
      </c>
      <c r="G211" s="15">
        <f t="shared" si="60"/>
        <v>5215.1387032547691</v>
      </c>
      <c r="H211" s="363">
        <f t="shared" si="54"/>
        <v>10000000.000000009</v>
      </c>
      <c r="I211" s="364"/>
      <c r="J211" s="362">
        <f t="shared" si="61"/>
        <v>64340.301100034303</v>
      </c>
      <c r="K211" s="361"/>
      <c r="L211" s="360">
        <f t="shared" si="52"/>
        <v>20074.173943210702</v>
      </c>
      <c r="M211" s="361"/>
      <c r="N211" s="358">
        <f t="shared" si="62"/>
        <v>10000000</v>
      </c>
      <c r="O211" s="359"/>
      <c r="P211" s="9">
        <f t="shared" si="55"/>
        <v>13</v>
      </c>
      <c r="R211" s="40">
        <f t="shared" si="56"/>
        <v>2261.9191473996157</v>
      </c>
      <c r="S211" s="35">
        <f t="shared" si="53"/>
        <v>351555.57383588492</v>
      </c>
      <c r="T211" s="36">
        <f t="shared" si="57"/>
        <v>64340.301100034303</v>
      </c>
      <c r="V211"/>
      <c r="W211"/>
      <c r="X211" s="9">
        <v>163</v>
      </c>
      <c r="Y211" s="6">
        <v>14</v>
      </c>
    </row>
    <row r="212" spans="1:25" ht="20.25" customHeight="1" x14ac:dyDescent="0.35">
      <c r="A212" s="195" t="s">
        <v>361</v>
      </c>
      <c r="B212" s="63">
        <v>164</v>
      </c>
      <c r="C212" s="39">
        <f t="shared" si="51"/>
        <v>64340.301100034303</v>
      </c>
      <c r="D212" s="38">
        <f t="shared" si="63"/>
        <v>28.628020859650299</v>
      </c>
      <c r="E212" s="39">
        <f t="shared" si="58"/>
        <v>0</v>
      </c>
      <c r="F212" s="40">
        <f t="shared" si="59"/>
        <v>41865.711810238652</v>
      </c>
      <c r="G212" s="40">
        <f t="shared" si="60"/>
        <v>5233.2139762798315</v>
      </c>
      <c r="H212" s="360">
        <f t="shared" si="54"/>
        <v>10000000.000000009</v>
      </c>
      <c r="I212" s="365"/>
      <c r="J212" s="362">
        <f t="shared" si="61"/>
        <v>64340.301100034303</v>
      </c>
      <c r="K212" s="361"/>
      <c r="L212" s="360">
        <f t="shared" si="52"/>
        <v>20074.173943210702</v>
      </c>
      <c r="M212" s="361"/>
      <c r="N212" s="358">
        <f t="shared" si="62"/>
        <v>10000000</v>
      </c>
      <c r="O212" s="359"/>
      <c r="P212" s="9">
        <f t="shared" si="55"/>
        <v>13</v>
      </c>
      <c r="R212" s="40">
        <f t="shared" si="56"/>
        <v>2247.4589289795649</v>
      </c>
      <c r="S212" s="35">
        <f t="shared" si="53"/>
        <v>349308.11490690534</v>
      </c>
      <c r="T212" s="36">
        <f t="shared" si="57"/>
        <v>64340.301100034303</v>
      </c>
      <c r="V212"/>
      <c r="W212"/>
      <c r="X212" s="9">
        <v>164</v>
      </c>
      <c r="Y212" s="6">
        <v>14</v>
      </c>
    </row>
    <row r="213" spans="1:25" ht="20.25" customHeight="1" x14ac:dyDescent="0.35">
      <c r="A213" s="195" t="s">
        <v>360</v>
      </c>
      <c r="B213" s="60">
        <v>165</v>
      </c>
      <c r="C213" s="34">
        <f t="shared" si="51"/>
        <v>64340.301100034303</v>
      </c>
      <c r="D213" s="38">
        <f t="shared" si="63"/>
        <v>28.812214407851094</v>
      </c>
      <c r="E213" s="34">
        <f t="shared" si="58"/>
        <v>0</v>
      </c>
      <c r="F213" s="15">
        <f t="shared" si="59"/>
        <v>42009.389567423299</v>
      </c>
      <c r="G213" s="15">
        <f t="shared" si="60"/>
        <v>5251.1736959279124</v>
      </c>
      <c r="H213" s="363">
        <f t="shared" si="54"/>
        <v>10000000.000000009</v>
      </c>
      <c r="I213" s="364"/>
      <c r="J213" s="362">
        <f t="shared" si="61"/>
        <v>64340.301100034303</v>
      </c>
      <c r="K213" s="361"/>
      <c r="L213" s="360">
        <f t="shared" si="52"/>
        <v>20074.173943210702</v>
      </c>
      <c r="M213" s="361"/>
      <c r="N213" s="358">
        <f t="shared" si="62"/>
        <v>10000000</v>
      </c>
      <c r="O213" s="359"/>
      <c r="P213" s="9">
        <f t="shared" si="55"/>
        <v>13</v>
      </c>
      <c r="R213" s="40">
        <f t="shared" si="56"/>
        <v>2233.0911532611008</v>
      </c>
      <c r="S213" s="35">
        <f t="shared" si="53"/>
        <v>347075.02375364426</v>
      </c>
      <c r="T213" s="36">
        <f t="shared" si="57"/>
        <v>64340.301100034303</v>
      </c>
      <c r="V213"/>
      <c r="W213"/>
      <c r="X213" s="9">
        <v>165</v>
      </c>
      <c r="Y213" s="6">
        <v>14</v>
      </c>
    </row>
    <row r="214" spans="1:25" ht="20.25" customHeight="1" x14ac:dyDescent="0.35">
      <c r="A214" s="195" t="s">
        <v>361</v>
      </c>
      <c r="B214" s="63">
        <v>166</v>
      </c>
      <c r="C214" s="39">
        <f t="shared" si="51"/>
        <v>64340.301100034303</v>
      </c>
      <c r="D214" s="38">
        <f t="shared" si="63"/>
        <v>28.997593062887084</v>
      </c>
      <c r="E214" s="39">
        <f t="shared" si="58"/>
        <v>0</v>
      </c>
      <c r="F214" s="40">
        <f t="shared" si="59"/>
        <v>42152.148807359707</v>
      </c>
      <c r="G214" s="40">
        <f t="shared" si="60"/>
        <v>5269.0186009199633</v>
      </c>
      <c r="H214" s="360">
        <f t="shared" si="54"/>
        <v>10000000.000000011</v>
      </c>
      <c r="I214" s="365"/>
      <c r="J214" s="362">
        <f t="shared" si="61"/>
        <v>64340.301100034303</v>
      </c>
      <c r="K214" s="361"/>
      <c r="L214" s="360">
        <f t="shared" si="52"/>
        <v>20074.173943210702</v>
      </c>
      <c r="M214" s="361"/>
      <c r="N214" s="358">
        <f t="shared" si="62"/>
        <v>10000000</v>
      </c>
      <c r="O214" s="359"/>
      <c r="P214" s="9">
        <f t="shared" si="55"/>
        <v>13</v>
      </c>
      <c r="R214" s="40">
        <f t="shared" si="56"/>
        <v>2218.8152292674595</v>
      </c>
      <c r="S214" s="35">
        <f t="shared" si="53"/>
        <v>344856.20852437679</v>
      </c>
      <c r="T214" s="36">
        <f t="shared" si="57"/>
        <v>64340.301100034303</v>
      </c>
      <c r="V214"/>
      <c r="W214"/>
      <c r="X214" s="9">
        <v>166</v>
      </c>
      <c r="Y214" s="6">
        <v>14</v>
      </c>
    </row>
    <row r="215" spans="1:25" ht="20.25" customHeight="1" x14ac:dyDescent="0.35">
      <c r="A215" s="195" t="s">
        <v>360</v>
      </c>
      <c r="B215" s="60">
        <v>167</v>
      </c>
      <c r="C215" s="34">
        <f t="shared" si="51"/>
        <v>64340.301100034303</v>
      </c>
      <c r="D215" s="38">
        <f t="shared" si="63"/>
        <v>29.184164449771327</v>
      </c>
      <c r="E215" s="34">
        <f t="shared" si="58"/>
        <v>0</v>
      </c>
      <c r="F215" s="15">
        <f t="shared" si="59"/>
        <v>42293.995402034976</v>
      </c>
      <c r="G215" s="15">
        <f t="shared" si="60"/>
        <v>5286.749425254372</v>
      </c>
      <c r="H215" s="363">
        <f t="shared" si="54"/>
        <v>10000000.000000011</v>
      </c>
      <c r="I215" s="364"/>
      <c r="J215" s="362">
        <f t="shared" si="61"/>
        <v>64340.301100034303</v>
      </c>
      <c r="K215" s="361"/>
      <c r="L215" s="360">
        <f t="shared" si="52"/>
        <v>20074.173943210702</v>
      </c>
      <c r="M215" s="361"/>
      <c r="N215" s="358">
        <f t="shared" si="62"/>
        <v>10000000</v>
      </c>
      <c r="O215" s="359"/>
      <c r="P215" s="9">
        <f t="shared" si="55"/>
        <v>13</v>
      </c>
      <c r="R215" s="40">
        <f t="shared" si="56"/>
        <v>2204.6305697999328</v>
      </c>
      <c r="S215" s="35">
        <f t="shared" si="53"/>
        <v>342651.57795457687</v>
      </c>
      <c r="T215" s="36">
        <f t="shared" si="57"/>
        <v>64340.301100034303</v>
      </c>
      <c r="V215"/>
      <c r="W215"/>
      <c r="X215" s="9">
        <v>167</v>
      </c>
      <c r="Y215" s="6">
        <v>14</v>
      </c>
    </row>
    <row r="216" spans="1:25" ht="20.25" customHeight="1" x14ac:dyDescent="0.35">
      <c r="A216" s="195" t="s">
        <v>361</v>
      </c>
      <c r="B216" s="63">
        <v>168</v>
      </c>
      <c r="C216" s="39">
        <f t="shared" si="51"/>
        <v>64340.301100034303</v>
      </c>
      <c r="D216" s="38">
        <f t="shared" si="63"/>
        <v>29.371936242576446</v>
      </c>
      <c r="E216" s="39">
        <f t="shared" si="58"/>
        <v>0</v>
      </c>
      <c r="F216" s="40">
        <f t="shared" si="59"/>
        <v>42434.935185897179</v>
      </c>
      <c r="G216" s="40">
        <f t="shared" si="60"/>
        <v>5304.3668982371473</v>
      </c>
      <c r="H216" s="360">
        <f t="shared" si="54"/>
        <v>10000000.000000011</v>
      </c>
      <c r="I216" s="365"/>
      <c r="J216" s="362">
        <f t="shared" si="61"/>
        <v>64340.301100034303</v>
      </c>
      <c r="K216" s="361"/>
      <c r="L216" s="360">
        <f t="shared" si="52"/>
        <v>20074.173943210702</v>
      </c>
      <c r="M216" s="361"/>
      <c r="N216" s="358">
        <f t="shared" si="62"/>
        <v>10000000</v>
      </c>
      <c r="O216" s="359"/>
      <c r="P216" s="9">
        <f t="shared" si="55"/>
        <v>13</v>
      </c>
      <c r="R216" s="40">
        <f t="shared" si="56"/>
        <v>2190.5365914137128</v>
      </c>
      <c r="S216" s="35">
        <f t="shared" si="53"/>
        <v>340461.04136316315</v>
      </c>
      <c r="T216" s="36">
        <f t="shared" si="57"/>
        <v>64340.301100034303</v>
      </c>
      <c r="V216"/>
      <c r="W216"/>
      <c r="X216" s="9">
        <v>168</v>
      </c>
      <c r="Y216" s="6">
        <v>14</v>
      </c>
    </row>
    <row r="217" spans="1:25" ht="20.25" customHeight="1" x14ac:dyDescent="0.35">
      <c r="A217" s="195" t="s">
        <v>360</v>
      </c>
      <c r="B217" s="60">
        <v>169</v>
      </c>
      <c r="C217" s="34">
        <f t="shared" si="51"/>
        <v>64340.301100034303</v>
      </c>
      <c r="D217" s="38">
        <f t="shared" si="63"/>
        <v>29.560916164750285</v>
      </c>
      <c r="E217" s="34">
        <f t="shared" si="58"/>
        <v>0</v>
      </c>
      <c r="F217" s="15">
        <f t="shared" si="59"/>
        <v>42574.973956095353</v>
      </c>
      <c r="G217" s="15">
        <f t="shared" si="60"/>
        <v>5321.8717445119191</v>
      </c>
      <c r="H217" s="363">
        <f t="shared" si="54"/>
        <v>10000000.000000009</v>
      </c>
      <c r="I217" s="364"/>
      <c r="J217" s="362">
        <f t="shared" si="61"/>
        <v>64340.301100034303</v>
      </c>
      <c r="K217" s="361"/>
      <c r="L217" s="360">
        <f t="shared" si="52"/>
        <v>20074.173943210702</v>
      </c>
      <c r="M217" s="361"/>
      <c r="N217" s="358">
        <f t="shared" si="62"/>
        <v>10000000</v>
      </c>
      <c r="O217" s="359"/>
      <c r="P217" s="9">
        <f t="shared" si="55"/>
        <v>14</v>
      </c>
      <c r="R217" s="40">
        <f t="shared" si="56"/>
        <v>2176.5327143938948</v>
      </c>
      <c r="S217" s="35">
        <f t="shared" si="53"/>
        <v>338284.50864876923</v>
      </c>
      <c r="T217" s="36">
        <f t="shared" si="57"/>
        <v>64340.301100034303</v>
      </c>
      <c r="V217"/>
      <c r="W217"/>
      <c r="X217" s="9">
        <v>169</v>
      </c>
      <c r="Y217" s="6">
        <v>15</v>
      </c>
    </row>
    <row r="218" spans="1:25" ht="20.25" customHeight="1" x14ac:dyDescent="0.35">
      <c r="A218" s="195" t="s">
        <v>361</v>
      </c>
      <c r="B218" s="63">
        <v>170</v>
      </c>
      <c r="C218" s="39">
        <f t="shared" si="51"/>
        <v>64340.301100034303</v>
      </c>
      <c r="D218" s="38">
        <f t="shared" si="63"/>
        <v>29.751111989433575</v>
      </c>
      <c r="E218" s="39">
        <f t="shared" si="58"/>
        <v>0</v>
      </c>
      <c r="F218" s="40">
        <f t="shared" si="59"/>
        <v>42714.117472717968</v>
      </c>
      <c r="G218" s="40">
        <f t="shared" si="60"/>
        <v>5339.264684089746</v>
      </c>
      <c r="H218" s="360">
        <f t="shared" si="54"/>
        <v>10000000.000000009</v>
      </c>
      <c r="I218" s="365"/>
      <c r="J218" s="362">
        <f t="shared" si="61"/>
        <v>64340.301100034303</v>
      </c>
      <c r="K218" s="361"/>
      <c r="L218" s="360">
        <f t="shared" si="52"/>
        <v>20074.173943210702</v>
      </c>
      <c r="M218" s="361"/>
      <c r="N218" s="358">
        <f t="shared" si="62"/>
        <v>10000000</v>
      </c>
      <c r="O218" s="359"/>
      <c r="P218" s="9">
        <f t="shared" si="55"/>
        <v>14</v>
      </c>
      <c r="R218" s="40">
        <f t="shared" si="56"/>
        <v>2162.6183627316332</v>
      </c>
      <c r="S218" s="35">
        <f t="shared" si="53"/>
        <v>336121.89028603758</v>
      </c>
      <c r="T218" s="36">
        <f t="shared" si="57"/>
        <v>64340.301100034303</v>
      </c>
      <c r="V218"/>
      <c r="W218"/>
      <c r="X218" s="9">
        <v>170</v>
      </c>
      <c r="Y218" s="6">
        <v>15</v>
      </c>
    </row>
    <row r="219" spans="1:25" ht="20.25" customHeight="1" x14ac:dyDescent="0.35">
      <c r="A219" s="195" t="s">
        <v>360</v>
      </c>
      <c r="B219" s="60">
        <v>171</v>
      </c>
      <c r="C219" s="34">
        <f t="shared" si="51"/>
        <v>64340.301100034303</v>
      </c>
      <c r="D219" s="38">
        <f t="shared" si="63"/>
        <v>29.942531539779676</v>
      </c>
      <c r="E219" s="34">
        <f t="shared" si="58"/>
        <v>0</v>
      </c>
      <c r="F219" s="15">
        <f t="shared" si="59"/>
        <v>42852.371459029833</v>
      </c>
      <c r="G219" s="15">
        <f t="shared" si="60"/>
        <v>5356.5464323787292</v>
      </c>
      <c r="H219" s="363">
        <f t="shared" si="54"/>
        <v>10000000.000000011</v>
      </c>
      <c r="I219" s="364"/>
      <c r="J219" s="362">
        <f t="shared" si="61"/>
        <v>64340.301100034303</v>
      </c>
      <c r="K219" s="361"/>
      <c r="L219" s="360">
        <f t="shared" si="52"/>
        <v>20074.173943210702</v>
      </c>
      <c r="M219" s="361"/>
      <c r="N219" s="358">
        <f t="shared" si="62"/>
        <v>10000000</v>
      </c>
      <c r="O219" s="359"/>
      <c r="P219" s="9">
        <f t="shared" si="55"/>
        <v>14</v>
      </c>
      <c r="R219" s="40">
        <f t="shared" si="56"/>
        <v>2148.7929641004475</v>
      </c>
      <c r="S219" s="35">
        <f t="shared" si="53"/>
        <v>333973.09732193715</v>
      </c>
      <c r="T219" s="36">
        <f t="shared" si="57"/>
        <v>64340.301100034303</v>
      </c>
      <c r="V219"/>
      <c r="W219"/>
      <c r="X219" s="9">
        <v>171</v>
      </c>
      <c r="Y219" s="6">
        <v>15</v>
      </c>
    </row>
    <row r="220" spans="1:25" ht="20.25" customHeight="1" x14ac:dyDescent="0.35">
      <c r="A220" s="195" t="s">
        <v>361</v>
      </c>
      <c r="B220" s="63">
        <v>172</v>
      </c>
      <c r="C220" s="39">
        <f t="shared" si="51"/>
        <v>64340.301100034303</v>
      </c>
      <c r="D220" s="38">
        <f t="shared" si="63"/>
        <v>30.135182689276345</v>
      </c>
      <c r="E220" s="39">
        <f t="shared" si="58"/>
        <v>0</v>
      </c>
      <c r="F220" s="40">
        <f t="shared" si="59"/>
        <v>42989.741601707487</v>
      </c>
      <c r="G220" s="40">
        <f t="shared" si="60"/>
        <v>5373.7177002134358</v>
      </c>
      <c r="H220" s="360">
        <f t="shared" si="54"/>
        <v>10000000.000000011</v>
      </c>
      <c r="I220" s="365"/>
      <c r="J220" s="362">
        <f t="shared" si="61"/>
        <v>64340.301100034303</v>
      </c>
      <c r="K220" s="361"/>
      <c r="L220" s="360">
        <f t="shared" si="52"/>
        <v>20074.173943210702</v>
      </c>
      <c r="M220" s="361"/>
      <c r="N220" s="358">
        <f t="shared" si="62"/>
        <v>10000000</v>
      </c>
      <c r="O220" s="359"/>
      <c r="P220" s="9">
        <f t="shared" si="55"/>
        <v>14</v>
      </c>
      <c r="R220" s="40">
        <f t="shared" si="56"/>
        <v>2135.055949832682</v>
      </c>
      <c r="S220" s="35">
        <f t="shared" si="53"/>
        <v>331838.04137210449</v>
      </c>
      <c r="T220" s="36">
        <f t="shared" si="57"/>
        <v>64340.301100034303</v>
      </c>
      <c r="V220"/>
      <c r="W220"/>
      <c r="X220" s="9">
        <v>172</v>
      </c>
      <c r="Y220" s="6">
        <v>15</v>
      </c>
    </row>
    <row r="221" spans="1:25" ht="20.25" customHeight="1" x14ac:dyDescent="0.35">
      <c r="A221" s="195" t="s">
        <v>360</v>
      </c>
      <c r="B221" s="60">
        <v>173</v>
      </c>
      <c r="C221" s="34">
        <f t="shared" si="51"/>
        <v>64340.301100034303</v>
      </c>
      <c r="D221" s="38">
        <f t="shared" si="63"/>
        <v>30.329073362069604</v>
      </c>
      <c r="E221" s="34">
        <f t="shared" si="58"/>
        <v>0</v>
      </c>
      <c r="F221" s="15">
        <f t="shared" si="59"/>
        <v>43126.233551073143</v>
      </c>
      <c r="G221" s="15">
        <f t="shared" si="60"/>
        <v>5390.7791938841428</v>
      </c>
      <c r="H221" s="363">
        <f t="shared" si="54"/>
        <v>10000000.000000011</v>
      </c>
      <c r="I221" s="364"/>
      <c r="J221" s="362">
        <f t="shared" si="61"/>
        <v>64340.301100034303</v>
      </c>
      <c r="K221" s="361"/>
      <c r="L221" s="360">
        <f t="shared" si="52"/>
        <v>20074.173943210702</v>
      </c>
      <c r="M221" s="361"/>
      <c r="N221" s="358">
        <f t="shared" si="62"/>
        <v>10000000</v>
      </c>
      <c r="O221" s="359"/>
      <c r="P221" s="9">
        <f t="shared" si="55"/>
        <v>14</v>
      </c>
      <c r="R221" s="40">
        <f t="shared" si="56"/>
        <v>2121.4067548961157</v>
      </c>
      <c r="S221" s="35">
        <f t="shared" si="53"/>
        <v>329716.63461720839</v>
      </c>
      <c r="T221" s="36">
        <f t="shared" si="57"/>
        <v>64340.301100034303</v>
      </c>
      <c r="V221"/>
      <c r="W221"/>
      <c r="X221" s="9">
        <v>173</v>
      </c>
      <c r="Y221" s="6">
        <v>15</v>
      </c>
    </row>
    <row r="222" spans="1:25" ht="20.25" customHeight="1" x14ac:dyDescent="0.35">
      <c r="A222" s="195" t="s">
        <v>361</v>
      </c>
      <c r="B222" s="63">
        <v>174</v>
      </c>
      <c r="C222" s="39">
        <f t="shared" si="51"/>
        <v>64340.301100034303</v>
      </c>
      <c r="D222" s="38">
        <f t="shared" si="63"/>
        <v>30.524211533289662</v>
      </c>
      <c r="E222" s="39">
        <f t="shared" si="58"/>
        <v>0</v>
      </c>
      <c r="F222" s="40">
        <f t="shared" si="59"/>
        <v>43261.852921327096</v>
      </c>
      <c r="G222" s="40">
        <f t="shared" si="60"/>
        <v>5407.731615165887</v>
      </c>
      <c r="H222" s="360">
        <f t="shared" si="54"/>
        <v>10000000.000000011</v>
      </c>
      <c r="I222" s="365"/>
      <c r="J222" s="362">
        <f t="shared" si="61"/>
        <v>64340.301100034303</v>
      </c>
      <c r="K222" s="361"/>
      <c r="L222" s="360">
        <f t="shared" si="52"/>
        <v>20074.173943210702</v>
      </c>
      <c r="M222" s="361"/>
      <c r="N222" s="358">
        <f t="shared" si="62"/>
        <v>10000000</v>
      </c>
      <c r="O222" s="359"/>
      <c r="P222" s="9">
        <f t="shared" si="55"/>
        <v>14</v>
      </c>
      <c r="R222" s="40">
        <f t="shared" si="56"/>
        <v>2107.8448178707208</v>
      </c>
      <c r="S222" s="35">
        <f t="shared" si="53"/>
        <v>327608.78979933768</v>
      </c>
      <c r="T222" s="36">
        <f t="shared" si="57"/>
        <v>64340.301100034303</v>
      </c>
      <c r="V222"/>
      <c r="W222"/>
      <c r="X222" s="9">
        <v>174</v>
      </c>
      <c r="Y222" s="6">
        <v>15</v>
      </c>
    </row>
    <row r="223" spans="1:25" ht="20.25" customHeight="1" x14ac:dyDescent="0.35">
      <c r="A223" s="195" t="s">
        <v>360</v>
      </c>
      <c r="B223" s="60">
        <v>175</v>
      </c>
      <c r="C223" s="34">
        <f t="shared" si="51"/>
        <v>64340.301100034303</v>
      </c>
      <c r="D223" s="38">
        <f t="shared" si="63"/>
        <v>30.720605229378961</v>
      </c>
      <c r="E223" s="34">
        <f t="shared" si="58"/>
        <v>0</v>
      </c>
      <c r="F223" s="15">
        <f t="shared" si="59"/>
        <v>43396.6052907786</v>
      </c>
      <c r="G223" s="15">
        <f t="shared" si="60"/>
        <v>5424.575661347325</v>
      </c>
      <c r="H223" s="363">
        <f t="shared" si="54"/>
        <v>10000000.000000013</v>
      </c>
      <c r="I223" s="364"/>
      <c r="J223" s="362">
        <f t="shared" si="61"/>
        <v>64340.301100034303</v>
      </c>
      <c r="K223" s="361"/>
      <c r="L223" s="360">
        <f t="shared" si="52"/>
        <v>20074.173943210702</v>
      </c>
      <c r="M223" s="361"/>
      <c r="N223" s="358">
        <f t="shared" si="62"/>
        <v>10000000</v>
      </c>
      <c r="O223" s="359"/>
      <c r="P223" s="9">
        <f t="shared" si="55"/>
        <v>14</v>
      </c>
      <c r="R223" s="40">
        <f t="shared" si="56"/>
        <v>2094.3695809255705</v>
      </c>
      <c r="S223" s="35">
        <f t="shared" si="53"/>
        <v>325514.42021841212</v>
      </c>
      <c r="T223" s="36">
        <f t="shared" si="57"/>
        <v>64340.301100034303</v>
      </c>
      <c r="V223"/>
      <c r="W223"/>
      <c r="X223" s="9">
        <v>175</v>
      </c>
      <c r="Y223" s="6">
        <v>15</v>
      </c>
    </row>
    <row r="224" spans="1:25" ht="20.25" customHeight="1" x14ac:dyDescent="0.35">
      <c r="A224" s="195" t="s">
        <v>361</v>
      </c>
      <c r="B224" s="63">
        <v>176</v>
      </c>
      <c r="C224" s="39">
        <f t="shared" si="51"/>
        <v>64340.301100034303</v>
      </c>
      <c r="D224" s="38">
        <f t="shared" si="63"/>
        <v>30.918262528422314</v>
      </c>
      <c r="E224" s="39">
        <f t="shared" si="58"/>
        <v>0</v>
      </c>
      <c r="F224" s="40">
        <f t="shared" si="59"/>
        <v>43530.496202075359</v>
      </c>
      <c r="G224" s="40">
        <f t="shared" si="60"/>
        <v>5441.3120252594199</v>
      </c>
      <c r="H224" s="360">
        <f t="shared" si="54"/>
        <v>10000000.000000011</v>
      </c>
      <c r="I224" s="365"/>
      <c r="J224" s="362">
        <f t="shared" si="61"/>
        <v>64340.301100034303</v>
      </c>
      <c r="K224" s="361"/>
      <c r="L224" s="360">
        <f t="shared" si="52"/>
        <v>20074.173943210702</v>
      </c>
      <c r="M224" s="361"/>
      <c r="N224" s="358">
        <f t="shared" si="62"/>
        <v>10000000</v>
      </c>
      <c r="O224" s="359"/>
      <c r="P224" s="9">
        <f t="shared" si="55"/>
        <v>14</v>
      </c>
      <c r="R224" s="40">
        <f t="shared" si="56"/>
        <v>2080.9804897958938</v>
      </c>
      <c r="S224" s="35">
        <f t="shared" si="53"/>
        <v>323433.43972861621</v>
      </c>
      <c r="T224" s="36">
        <f t="shared" si="57"/>
        <v>64340.301100034303</v>
      </c>
      <c r="V224"/>
      <c r="W224"/>
      <c r="X224" s="9">
        <v>176</v>
      </c>
      <c r="Y224" s="6">
        <v>15</v>
      </c>
    </row>
    <row r="225" spans="1:25" ht="20.25" customHeight="1" x14ac:dyDescent="0.35">
      <c r="A225" s="195" t="s">
        <v>360</v>
      </c>
      <c r="B225" s="60">
        <v>177</v>
      </c>
      <c r="C225" s="34">
        <f t="shared" si="51"/>
        <v>64340.301100034303</v>
      </c>
      <c r="D225" s="38">
        <f t="shared" si="63"/>
        <v>31.117191560479174</v>
      </c>
      <c r="E225" s="34">
        <f t="shared" si="58"/>
        <v>0</v>
      </c>
      <c r="F225" s="15">
        <f t="shared" si="59"/>
        <v>43663.531162431515</v>
      </c>
      <c r="G225" s="15">
        <f t="shared" si="60"/>
        <v>5457.9413953039393</v>
      </c>
      <c r="H225" s="363">
        <f t="shared" si="54"/>
        <v>10000000.000000011</v>
      </c>
      <c r="I225" s="364"/>
      <c r="J225" s="362">
        <f t="shared" si="61"/>
        <v>64340.301100034303</v>
      </c>
      <c r="K225" s="361"/>
      <c r="L225" s="360">
        <f t="shared" si="52"/>
        <v>20074.173943210702</v>
      </c>
      <c r="M225" s="361"/>
      <c r="N225" s="358">
        <f t="shared" si="62"/>
        <v>10000000</v>
      </c>
      <c r="O225" s="359"/>
      <c r="P225" s="9">
        <f t="shared" si="55"/>
        <v>14</v>
      </c>
      <c r="R225" s="40">
        <f t="shared" si="56"/>
        <v>2067.6769937602789</v>
      </c>
      <c r="S225" s="35">
        <f t="shared" si="53"/>
        <v>321365.76273485593</v>
      </c>
      <c r="T225" s="36">
        <f t="shared" si="57"/>
        <v>64340.301100034303</v>
      </c>
      <c r="V225"/>
      <c r="W225"/>
      <c r="X225" s="9">
        <v>177</v>
      </c>
      <c r="Y225" s="6">
        <v>15</v>
      </c>
    </row>
    <row r="226" spans="1:25" ht="20.25" customHeight="1" x14ac:dyDescent="0.35">
      <c r="A226" s="195" t="s">
        <v>361</v>
      </c>
      <c r="B226" s="63">
        <v>178</v>
      </c>
      <c r="C226" s="39">
        <f t="shared" si="51"/>
        <v>64340.301100034303</v>
      </c>
      <c r="D226" s="38">
        <f t="shared" si="63"/>
        <v>31.317400507918041</v>
      </c>
      <c r="E226" s="39">
        <f t="shared" si="58"/>
        <v>0</v>
      </c>
      <c r="F226" s="40">
        <f t="shared" si="59"/>
        <v>43795.715643854113</v>
      </c>
      <c r="G226" s="40">
        <f t="shared" si="60"/>
        <v>5474.4644554817642</v>
      </c>
      <c r="H226" s="360">
        <f t="shared" si="54"/>
        <v>10000000.000000013</v>
      </c>
      <c r="I226" s="365"/>
      <c r="J226" s="362">
        <f t="shared" si="61"/>
        <v>64340.301100034303</v>
      </c>
      <c r="K226" s="361"/>
      <c r="L226" s="360">
        <f t="shared" si="52"/>
        <v>20074.173943210702</v>
      </c>
      <c r="M226" s="361"/>
      <c r="N226" s="358">
        <f t="shared" si="62"/>
        <v>10000000</v>
      </c>
      <c r="O226" s="359"/>
      <c r="P226" s="9">
        <f t="shared" si="55"/>
        <v>14</v>
      </c>
      <c r="R226" s="40">
        <f t="shared" si="56"/>
        <v>2054.4585456180189</v>
      </c>
      <c r="S226" s="35">
        <f t="shared" si="53"/>
        <v>319311.30418923794</v>
      </c>
      <c r="T226" s="36">
        <f t="shared" si="57"/>
        <v>64340.301100034303</v>
      </c>
      <c r="V226"/>
      <c r="W226"/>
      <c r="X226" s="9">
        <v>178</v>
      </c>
      <c r="Y226" s="6">
        <v>15</v>
      </c>
    </row>
    <row r="227" spans="1:25" ht="20.25" customHeight="1" x14ac:dyDescent="0.35">
      <c r="A227" s="195" t="s">
        <v>360</v>
      </c>
      <c r="B227" s="60">
        <v>179</v>
      </c>
      <c r="C227" s="34">
        <f t="shared" si="51"/>
        <v>64340.301100034303</v>
      </c>
      <c r="D227" s="38">
        <f t="shared" si="63"/>
        <v>31.518897605753022</v>
      </c>
      <c r="E227" s="34">
        <f t="shared" si="58"/>
        <v>0</v>
      </c>
      <c r="F227" s="15">
        <f t="shared" si="59"/>
        <v>43927.05508336825</v>
      </c>
      <c r="G227" s="15">
        <f t="shared" si="60"/>
        <v>5490.8818854210313</v>
      </c>
      <c r="H227" s="363">
        <f t="shared" si="54"/>
        <v>10000000.000000013</v>
      </c>
      <c r="I227" s="364"/>
      <c r="J227" s="362">
        <f t="shared" si="61"/>
        <v>64340.301100034303</v>
      </c>
      <c r="K227" s="361"/>
      <c r="L227" s="360">
        <f t="shared" si="52"/>
        <v>20074.173943210702</v>
      </c>
      <c r="M227" s="361"/>
      <c r="N227" s="358">
        <f t="shared" si="62"/>
        <v>10000000</v>
      </c>
      <c r="O227" s="359"/>
      <c r="P227" s="9">
        <f t="shared" si="55"/>
        <v>14</v>
      </c>
      <c r="R227" s="40">
        <f t="shared" si="56"/>
        <v>2041.3246016666051</v>
      </c>
      <c r="S227" s="35">
        <f t="shared" si="53"/>
        <v>317269.97958757135</v>
      </c>
      <c r="T227" s="36">
        <f t="shared" si="57"/>
        <v>64340.301100034303</v>
      </c>
      <c r="V227"/>
      <c r="W227"/>
      <c r="X227" s="9">
        <v>179</v>
      </c>
      <c r="Y227" s="6">
        <v>15</v>
      </c>
    </row>
    <row r="228" spans="1:25" ht="20.25" customHeight="1" x14ac:dyDescent="0.35">
      <c r="A228" s="195" t="s">
        <v>361</v>
      </c>
      <c r="B228" s="63">
        <v>180</v>
      </c>
      <c r="C228" s="39">
        <f t="shared" si="51"/>
        <v>64340.301100034303</v>
      </c>
      <c r="D228" s="38">
        <f t="shared" si="63"/>
        <v>31.721691141982554</v>
      </c>
      <c r="E228" s="39">
        <f t="shared" si="58"/>
        <v>0</v>
      </c>
      <c r="F228" s="40">
        <f t="shared" si="59"/>
        <v>44057.554883240657</v>
      </c>
      <c r="G228" s="40">
        <f t="shared" si="60"/>
        <v>5507.1943604050821</v>
      </c>
      <c r="H228" s="360">
        <f t="shared" si="54"/>
        <v>10000000.000000013</v>
      </c>
      <c r="I228" s="365"/>
      <c r="J228" s="362">
        <f t="shared" si="61"/>
        <v>64340.301100034303</v>
      </c>
      <c r="K228" s="361"/>
      <c r="L228" s="360">
        <f t="shared" si="52"/>
        <v>20074.173943210702</v>
      </c>
      <c r="M228" s="361"/>
      <c r="N228" s="358">
        <f t="shared" si="62"/>
        <v>10000000</v>
      </c>
      <c r="O228" s="359"/>
      <c r="P228" s="9">
        <f t="shared" si="55"/>
        <v>14</v>
      </c>
      <c r="R228" s="40">
        <f t="shared" si="56"/>
        <v>2028.2746216793641</v>
      </c>
      <c r="S228" s="35">
        <f t="shared" si="53"/>
        <v>315241.70496589196</v>
      </c>
      <c r="T228" s="36">
        <f t="shared" si="57"/>
        <v>64340.301100034303</v>
      </c>
      <c r="V228"/>
      <c r="W228"/>
      <c r="X228" s="9">
        <v>180</v>
      </c>
      <c r="Y228" s="6">
        <v>15</v>
      </c>
    </row>
    <row r="229" spans="1:25" ht="20.25" customHeight="1" x14ac:dyDescent="0.35">
      <c r="A229" s="195" t="s">
        <v>360</v>
      </c>
      <c r="B229" s="60">
        <v>181</v>
      </c>
      <c r="C229" s="34">
        <f t="shared" si="51"/>
        <v>64340.301100034303</v>
      </c>
      <c r="D229" s="38">
        <f t="shared" si="63"/>
        <v>31.9257894579303</v>
      </c>
      <c r="E229" s="34">
        <f t="shared" si="58"/>
        <v>0</v>
      </c>
      <c r="F229" s="15">
        <f t="shared" si="59"/>
        <v>44187.220411201939</v>
      </c>
      <c r="G229" s="15">
        <f t="shared" si="60"/>
        <v>5523.4025514002424</v>
      </c>
      <c r="H229" s="363">
        <f t="shared" si="54"/>
        <v>10000000.000000013</v>
      </c>
      <c r="I229" s="364"/>
      <c r="J229" s="362">
        <f t="shared" si="61"/>
        <v>64340.301100034303</v>
      </c>
      <c r="K229" s="361"/>
      <c r="L229" s="360">
        <f t="shared" si="52"/>
        <v>20074.173943210702</v>
      </c>
      <c r="M229" s="361"/>
      <c r="N229" s="358">
        <f t="shared" si="62"/>
        <v>10000000</v>
      </c>
      <c r="O229" s="359"/>
      <c r="P229" s="9">
        <f t="shared" si="55"/>
        <v>15</v>
      </c>
      <c r="R229" s="40">
        <f t="shared" si="56"/>
        <v>2015.3080688832365</v>
      </c>
      <c r="S229" s="35">
        <f t="shared" si="53"/>
        <v>313226.3968970087</v>
      </c>
      <c r="T229" s="36">
        <f t="shared" si="57"/>
        <v>64340.301100034303</v>
      </c>
      <c r="V229"/>
      <c r="W229"/>
      <c r="X229" s="9">
        <v>181</v>
      </c>
      <c r="Y229" s="6">
        <v>16</v>
      </c>
    </row>
    <row r="230" spans="1:25" ht="20.25" customHeight="1" x14ac:dyDescent="0.35">
      <c r="A230" s="195" t="s">
        <v>361</v>
      </c>
      <c r="B230" s="63">
        <v>182</v>
      </c>
      <c r="C230" s="39">
        <f t="shared" si="51"/>
        <v>64340.301100034303</v>
      </c>
      <c r="D230" s="38">
        <f t="shared" si="63"/>
        <v>32.131200948588251</v>
      </c>
      <c r="E230" s="39">
        <f t="shared" si="58"/>
        <v>0</v>
      </c>
      <c r="F230" s="40">
        <f t="shared" si="59"/>
        <v>44316.057000667322</v>
      </c>
      <c r="G230" s="40">
        <f t="shared" si="60"/>
        <v>5539.5071250834153</v>
      </c>
      <c r="H230" s="360">
        <f t="shared" si="54"/>
        <v>10000000.000000011</v>
      </c>
      <c r="I230" s="365"/>
      <c r="J230" s="362">
        <f t="shared" si="61"/>
        <v>64340.301100034303</v>
      </c>
      <c r="K230" s="361"/>
      <c r="L230" s="360">
        <f t="shared" si="52"/>
        <v>20074.173943210702</v>
      </c>
      <c r="M230" s="361"/>
      <c r="N230" s="358">
        <f t="shared" si="62"/>
        <v>10000000</v>
      </c>
      <c r="O230" s="359"/>
      <c r="P230" s="9">
        <f t="shared" si="55"/>
        <v>15</v>
      </c>
      <c r="R230" s="40">
        <f t="shared" si="56"/>
        <v>2002.4244099366981</v>
      </c>
      <c r="S230" s="35">
        <f t="shared" si="53"/>
        <v>311223.97248707199</v>
      </c>
      <c r="T230" s="36">
        <f t="shared" si="57"/>
        <v>64340.301100034303</v>
      </c>
      <c r="V230"/>
      <c r="W230"/>
      <c r="X230" s="9">
        <v>182</v>
      </c>
      <c r="Y230" s="6">
        <v>16</v>
      </c>
    </row>
    <row r="231" spans="1:25" ht="20.25" customHeight="1" x14ac:dyDescent="0.35">
      <c r="A231" s="195" t="s">
        <v>360</v>
      </c>
      <c r="B231" s="60">
        <v>183</v>
      </c>
      <c r="C231" s="34">
        <f t="shared" si="51"/>
        <v>64340.301100034303</v>
      </c>
      <c r="D231" s="38">
        <f t="shared" si="63"/>
        <v>32.337934062962042</v>
      </c>
      <c r="E231" s="34">
        <f t="shared" si="58"/>
        <v>0</v>
      </c>
      <c r="F231" s="15">
        <f t="shared" si="59"/>
        <v>44444.06995095608</v>
      </c>
      <c r="G231" s="15">
        <f t="shared" si="60"/>
        <v>5555.50874386951</v>
      </c>
      <c r="H231" s="363">
        <f t="shared" si="54"/>
        <v>10000000.000000013</v>
      </c>
      <c r="I231" s="364"/>
      <c r="J231" s="362">
        <f t="shared" si="61"/>
        <v>64340.301100034303</v>
      </c>
      <c r="K231" s="361"/>
      <c r="L231" s="360">
        <f t="shared" si="52"/>
        <v>20074.173943210702</v>
      </c>
      <c r="M231" s="361"/>
      <c r="N231" s="358">
        <f t="shared" si="62"/>
        <v>10000000</v>
      </c>
      <c r="O231" s="359"/>
      <c r="P231" s="9">
        <f t="shared" si="55"/>
        <v>15</v>
      </c>
      <c r="R231" s="40">
        <f t="shared" si="56"/>
        <v>1989.6231149078221</v>
      </c>
      <c r="S231" s="35">
        <f t="shared" si="53"/>
        <v>309234.34937216417</v>
      </c>
      <c r="T231" s="36">
        <f t="shared" si="57"/>
        <v>64340.301100034303</v>
      </c>
      <c r="V231"/>
      <c r="W231"/>
      <c r="X231" s="9">
        <v>183</v>
      </c>
      <c r="Y231" s="6">
        <v>16</v>
      </c>
    </row>
    <row r="232" spans="1:25" ht="20.25" customHeight="1" x14ac:dyDescent="0.35">
      <c r="A232" s="195" t="s">
        <v>361</v>
      </c>
      <c r="B232" s="63">
        <v>184</v>
      </c>
      <c r="C232" s="39">
        <f t="shared" si="51"/>
        <v>64340.301100034303</v>
      </c>
      <c r="D232" s="38">
        <f t="shared" si="63"/>
        <v>32.545997304418442</v>
      </c>
      <c r="E232" s="39">
        <f t="shared" si="58"/>
        <v>0</v>
      </c>
      <c r="F232" s="40">
        <f t="shared" si="59"/>
        <v>44571.264527509462</v>
      </c>
      <c r="G232" s="40">
        <f t="shared" si="60"/>
        <v>5571.4080659386827</v>
      </c>
      <c r="H232" s="360">
        <f t="shared" si="54"/>
        <v>10000000.000000011</v>
      </c>
      <c r="I232" s="365"/>
      <c r="J232" s="362">
        <f t="shared" si="61"/>
        <v>64340.301100034303</v>
      </c>
      <c r="K232" s="361"/>
      <c r="L232" s="360">
        <f t="shared" si="52"/>
        <v>20074.173943210702</v>
      </c>
      <c r="M232" s="361"/>
      <c r="N232" s="358">
        <f t="shared" si="62"/>
        <v>10000000</v>
      </c>
      <c r="O232" s="359"/>
      <c r="P232" s="9">
        <f t="shared" si="55"/>
        <v>15</v>
      </c>
      <c r="R232" s="40">
        <f t="shared" si="56"/>
        <v>1976.903657252484</v>
      </c>
      <c r="S232" s="35">
        <f t="shared" si="53"/>
        <v>307257.44571491168</v>
      </c>
      <c r="T232" s="36">
        <f t="shared" si="57"/>
        <v>64340.301100034303</v>
      </c>
      <c r="V232"/>
      <c r="W232"/>
      <c r="X232" s="9">
        <v>184</v>
      </c>
      <c r="Y232" s="6">
        <v>16</v>
      </c>
    </row>
    <row r="233" spans="1:25" ht="20.25" customHeight="1" x14ac:dyDescent="0.35">
      <c r="A233" s="195" t="s">
        <v>360</v>
      </c>
      <c r="B233" s="60">
        <v>185</v>
      </c>
      <c r="C233" s="34">
        <f t="shared" si="51"/>
        <v>64340.301100034303</v>
      </c>
      <c r="D233" s="38">
        <f t="shared" si="63"/>
        <v>32.755399231035163</v>
      </c>
      <c r="E233" s="34">
        <f t="shared" si="58"/>
        <v>0</v>
      </c>
      <c r="F233" s="15">
        <f t="shared" si="59"/>
        <v>44697.645962107301</v>
      </c>
      <c r="G233" s="15">
        <f t="shared" si="60"/>
        <v>5587.2057452634126</v>
      </c>
      <c r="H233" s="363">
        <f t="shared" si="54"/>
        <v>10000000.000000013</v>
      </c>
      <c r="I233" s="364"/>
      <c r="J233" s="362">
        <f t="shared" si="61"/>
        <v>64340.301100034303</v>
      </c>
      <c r="K233" s="361"/>
      <c r="L233" s="360">
        <f t="shared" si="52"/>
        <v>20074.173943210702</v>
      </c>
      <c r="M233" s="361"/>
      <c r="N233" s="358">
        <f t="shared" si="62"/>
        <v>10000000</v>
      </c>
      <c r="O233" s="359"/>
      <c r="P233" s="9">
        <f t="shared" si="55"/>
        <v>15</v>
      </c>
      <c r="R233" s="40">
        <f t="shared" si="56"/>
        <v>1964.2655137927002</v>
      </c>
      <c r="S233" s="35">
        <f t="shared" si="53"/>
        <v>305293.18020111899</v>
      </c>
      <c r="T233" s="36">
        <f t="shared" si="57"/>
        <v>64340.301100034303</v>
      </c>
      <c r="V233"/>
      <c r="W233"/>
      <c r="X233" s="9">
        <v>185</v>
      </c>
      <c r="Y233" s="6">
        <v>16</v>
      </c>
    </row>
    <row r="234" spans="1:25" ht="20.25" customHeight="1" x14ac:dyDescent="0.35">
      <c r="A234" s="195" t="s">
        <v>361</v>
      </c>
      <c r="B234" s="63">
        <v>186</v>
      </c>
      <c r="C234" s="39">
        <f t="shared" si="51"/>
        <v>64340.301100034303</v>
      </c>
      <c r="D234" s="38">
        <f t="shared" si="63"/>
        <v>32.966148455952826</v>
      </c>
      <c r="E234" s="39">
        <f t="shared" si="58"/>
        <v>0</v>
      </c>
      <c r="F234" s="40">
        <f t="shared" si="59"/>
        <v>44823.219453083177</v>
      </c>
      <c r="G234" s="40">
        <f t="shared" si="60"/>
        <v>5602.9024316353971</v>
      </c>
      <c r="H234" s="360">
        <f t="shared" si="54"/>
        <v>10000000.000000011</v>
      </c>
      <c r="I234" s="365"/>
      <c r="J234" s="362">
        <f t="shared" si="61"/>
        <v>64340.301100034303</v>
      </c>
      <c r="K234" s="361"/>
      <c r="L234" s="360">
        <f t="shared" si="52"/>
        <v>20074.173943210702</v>
      </c>
      <c r="M234" s="361"/>
      <c r="N234" s="358">
        <f t="shared" si="62"/>
        <v>10000000</v>
      </c>
      <c r="O234" s="359"/>
      <c r="P234" s="9">
        <f t="shared" si="55"/>
        <v>15</v>
      </c>
      <c r="R234" s="40">
        <f t="shared" si="56"/>
        <v>1951.7081646951124</v>
      </c>
      <c r="S234" s="35">
        <f t="shared" si="53"/>
        <v>303341.47203642386</v>
      </c>
      <c r="T234" s="36">
        <f t="shared" si="57"/>
        <v>64340.301100034303</v>
      </c>
      <c r="V234"/>
      <c r="W234"/>
      <c r="X234" s="9">
        <v>186</v>
      </c>
      <c r="Y234" s="6">
        <v>16</v>
      </c>
    </row>
    <row r="235" spans="1:25" ht="20.25" customHeight="1" x14ac:dyDescent="0.35">
      <c r="A235" s="195" t="s">
        <v>360</v>
      </c>
      <c r="B235" s="60">
        <v>187</v>
      </c>
      <c r="C235" s="34">
        <f t="shared" si="51"/>
        <v>64340.301100034303</v>
      </c>
      <c r="D235" s="38">
        <f t="shared" si="63"/>
        <v>33.178253647729271</v>
      </c>
      <c r="E235" s="34">
        <f t="shared" si="58"/>
        <v>0</v>
      </c>
      <c r="F235" s="15">
        <f t="shared" si="59"/>
        <v>44947.990165538278</v>
      </c>
      <c r="G235" s="15">
        <f t="shared" si="60"/>
        <v>5618.4987706922848</v>
      </c>
      <c r="H235" s="363">
        <f t="shared" si="54"/>
        <v>10000000.000000013</v>
      </c>
      <c r="I235" s="364"/>
      <c r="J235" s="362">
        <f t="shared" si="61"/>
        <v>64340.301100034303</v>
      </c>
      <c r="K235" s="361"/>
      <c r="L235" s="360">
        <f t="shared" si="52"/>
        <v>20074.173943210702</v>
      </c>
      <c r="M235" s="361"/>
      <c r="N235" s="358">
        <f t="shared" si="62"/>
        <v>10000000</v>
      </c>
      <c r="O235" s="359"/>
      <c r="P235" s="9">
        <f t="shared" si="55"/>
        <v>15</v>
      </c>
      <c r="R235" s="40">
        <f t="shared" si="56"/>
        <v>1939.2310934496027</v>
      </c>
      <c r="S235" s="35">
        <f t="shared" si="53"/>
        <v>301402.24094297428</v>
      </c>
      <c r="T235" s="36">
        <f t="shared" si="57"/>
        <v>64340.301100034303</v>
      </c>
      <c r="V235"/>
      <c r="W235"/>
      <c r="X235" s="9">
        <v>187</v>
      </c>
      <c r="Y235" s="6">
        <v>16</v>
      </c>
    </row>
    <row r="236" spans="1:25" ht="20.25" customHeight="1" x14ac:dyDescent="0.35">
      <c r="A236" s="195" t="s">
        <v>361</v>
      </c>
      <c r="B236" s="63">
        <v>188</v>
      </c>
      <c r="C236" s="39">
        <f t="shared" si="51"/>
        <v>64340.301100034303</v>
      </c>
      <c r="D236" s="38">
        <f t="shared" si="63"/>
        <v>33.39172353069609</v>
      </c>
      <c r="E236" s="39">
        <f t="shared" si="58"/>
        <v>0</v>
      </c>
      <c r="F236" s="40">
        <f t="shared" si="59"/>
        <v>45071.963231553797</v>
      </c>
      <c r="G236" s="40">
        <f t="shared" si="60"/>
        <v>5633.9954039442246</v>
      </c>
      <c r="H236" s="360">
        <f t="shared" si="54"/>
        <v>10000000.000000013</v>
      </c>
      <c r="I236" s="365"/>
      <c r="J236" s="362">
        <f t="shared" si="61"/>
        <v>64340.301100034303</v>
      </c>
      <c r="K236" s="361"/>
      <c r="L236" s="360">
        <f t="shared" si="52"/>
        <v>20074.173943210702</v>
      </c>
      <c r="M236" s="361"/>
      <c r="N236" s="358">
        <f t="shared" si="62"/>
        <v>10000000</v>
      </c>
      <c r="O236" s="359"/>
      <c r="P236" s="9">
        <f t="shared" si="55"/>
        <v>15</v>
      </c>
      <c r="R236" s="40">
        <f t="shared" si="56"/>
        <v>1926.8337868480505</v>
      </c>
      <c r="S236" s="35">
        <f t="shared" si="53"/>
        <v>299475.40715612622</v>
      </c>
      <c r="T236" s="36">
        <f t="shared" si="57"/>
        <v>64340.301100034303</v>
      </c>
      <c r="V236"/>
      <c r="W236"/>
      <c r="X236" s="9">
        <v>188</v>
      </c>
      <c r="Y236" s="6">
        <v>16</v>
      </c>
    </row>
    <row r="237" spans="1:25" ht="20.25" customHeight="1" x14ac:dyDescent="0.35">
      <c r="A237" s="195" t="s">
        <v>360</v>
      </c>
      <c r="B237" s="60">
        <v>189</v>
      </c>
      <c r="C237" s="34">
        <f t="shared" ref="C237:C300" si="64">T237</f>
        <v>64340.301100034303</v>
      </c>
      <c r="D237" s="38">
        <f t="shared" si="63"/>
        <v>33.606566885317498</v>
      </c>
      <c r="E237" s="34">
        <f t="shared" si="58"/>
        <v>0</v>
      </c>
      <c r="F237" s="15">
        <f t="shared" si="59"/>
        <v>45195.143750402087</v>
      </c>
      <c r="G237" s="15">
        <f t="shared" si="60"/>
        <v>5649.3929688002609</v>
      </c>
      <c r="H237" s="363">
        <f t="shared" si="54"/>
        <v>10000000.000000011</v>
      </c>
      <c r="I237" s="364"/>
      <c r="J237" s="362">
        <f t="shared" si="61"/>
        <v>64340.301100034303</v>
      </c>
      <c r="K237" s="361"/>
      <c r="L237" s="360">
        <f t="shared" ref="L237:L300" si="65">J237*$H$8</f>
        <v>20074.173943210702</v>
      </c>
      <c r="M237" s="361"/>
      <c r="N237" s="358">
        <f t="shared" si="62"/>
        <v>10000000</v>
      </c>
      <c r="O237" s="359"/>
      <c r="P237" s="9">
        <f t="shared" si="55"/>
        <v>15</v>
      </c>
      <c r="R237" s="40">
        <f t="shared" si="56"/>
        <v>1914.5157349632218</v>
      </c>
      <c r="S237" s="35">
        <f t="shared" ref="S237:S300" si="66">S236-R237</f>
        <v>297560.89142116299</v>
      </c>
      <c r="T237" s="36">
        <f t="shared" si="57"/>
        <v>64340.301100034303</v>
      </c>
      <c r="V237"/>
      <c r="W237"/>
      <c r="X237" s="9">
        <v>189</v>
      </c>
      <c r="Y237" s="6">
        <v>16</v>
      </c>
    </row>
    <row r="238" spans="1:25" ht="20.25" customHeight="1" x14ac:dyDescent="0.35">
      <c r="A238" s="195" t="s">
        <v>361</v>
      </c>
      <c r="B238" s="63">
        <v>190</v>
      </c>
      <c r="C238" s="39">
        <f t="shared" si="64"/>
        <v>64340.301100034303</v>
      </c>
      <c r="D238" s="38">
        <f t="shared" si="63"/>
        <v>33.822792548551476</v>
      </c>
      <c r="E238" s="39">
        <f t="shared" si="58"/>
        <v>0</v>
      </c>
      <c r="F238" s="40">
        <f t="shared" si="59"/>
        <v>45317.536788756341</v>
      </c>
      <c r="G238" s="40">
        <f t="shared" si="60"/>
        <v>5664.6920985945426</v>
      </c>
      <c r="H238" s="360">
        <f t="shared" si="54"/>
        <v>10000000.000000011</v>
      </c>
      <c r="I238" s="365"/>
      <c r="J238" s="362">
        <f t="shared" si="61"/>
        <v>64340.301100034303</v>
      </c>
      <c r="K238" s="361"/>
      <c r="L238" s="360">
        <f t="shared" si="65"/>
        <v>20074.173943210702</v>
      </c>
      <c r="M238" s="361"/>
      <c r="N238" s="358">
        <f t="shared" si="62"/>
        <v>10000000</v>
      </c>
      <c r="O238" s="359"/>
      <c r="P238" s="9">
        <f t="shared" si="55"/>
        <v>15</v>
      </c>
      <c r="R238" s="40">
        <f t="shared" si="56"/>
        <v>1902.2764311277956</v>
      </c>
      <c r="S238" s="35">
        <f t="shared" si="66"/>
        <v>295658.61499003519</v>
      </c>
      <c r="T238" s="36">
        <f t="shared" si="57"/>
        <v>64340.301100034303</v>
      </c>
      <c r="V238"/>
      <c r="W238"/>
      <c r="X238" s="9">
        <v>190</v>
      </c>
      <c r="Y238" s="6">
        <v>16</v>
      </c>
    </row>
    <row r="239" spans="1:25" ht="20.25" customHeight="1" x14ac:dyDescent="0.35">
      <c r="A239" s="195" t="s">
        <v>360</v>
      </c>
      <c r="B239" s="60">
        <v>191</v>
      </c>
      <c r="C239" s="34">
        <f t="shared" si="64"/>
        <v>64340.301100034303</v>
      </c>
      <c r="D239" s="38">
        <f t="shared" si="63"/>
        <v>34.040409414213258</v>
      </c>
      <c r="E239" s="34">
        <f t="shared" si="58"/>
        <v>0</v>
      </c>
      <c r="F239" s="15">
        <f t="shared" si="59"/>
        <v>45439.147380899063</v>
      </c>
      <c r="G239" s="15">
        <f t="shared" si="60"/>
        <v>5679.8934226123829</v>
      </c>
      <c r="H239" s="363">
        <f t="shared" si="54"/>
        <v>10000000.000000013</v>
      </c>
      <c r="I239" s="364"/>
      <c r="J239" s="362">
        <f t="shared" si="61"/>
        <v>64340.301100034303</v>
      </c>
      <c r="K239" s="361"/>
      <c r="L239" s="360">
        <f t="shared" si="65"/>
        <v>20074.173943210702</v>
      </c>
      <c r="M239" s="361"/>
      <c r="N239" s="358">
        <f t="shared" si="62"/>
        <v>10000000</v>
      </c>
      <c r="O239" s="359"/>
      <c r="P239" s="9">
        <f t="shared" si="55"/>
        <v>15</v>
      </c>
      <c r="R239" s="40">
        <f t="shared" si="56"/>
        <v>1890.1153719135236</v>
      </c>
      <c r="S239" s="35">
        <f t="shared" si="66"/>
        <v>293768.49961812166</v>
      </c>
      <c r="T239" s="36">
        <f t="shared" si="57"/>
        <v>64340.301100034303</v>
      </c>
      <c r="V239"/>
      <c r="W239"/>
      <c r="X239" s="9">
        <v>191</v>
      </c>
      <c r="Y239" s="6">
        <v>16</v>
      </c>
    </row>
    <row r="240" spans="1:25" ht="20.25" customHeight="1" x14ac:dyDescent="0.35">
      <c r="A240" s="195" t="s">
        <v>361</v>
      </c>
      <c r="B240" s="63">
        <v>192</v>
      </c>
      <c r="C240" s="39">
        <f t="shared" si="64"/>
        <v>64340.301100034303</v>
      </c>
      <c r="D240" s="38">
        <f t="shared" si="63"/>
        <v>34.259426433341147</v>
      </c>
      <c r="E240" s="39">
        <f t="shared" si="58"/>
        <v>0</v>
      </c>
      <c r="F240" s="40">
        <f t="shared" si="59"/>
        <v>45559.980528929074</v>
      </c>
      <c r="G240" s="40">
        <f t="shared" si="60"/>
        <v>5694.9975661161343</v>
      </c>
      <c r="H240" s="360">
        <f t="shared" si="54"/>
        <v>10000000.000000011</v>
      </c>
      <c r="I240" s="365"/>
      <c r="J240" s="362">
        <f t="shared" si="61"/>
        <v>64340.301100034303</v>
      </c>
      <c r="K240" s="361"/>
      <c r="L240" s="360">
        <f t="shared" si="65"/>
        <v>20074.173943210702</v>
      </c>
      <c r="M240" s="361"/>
      <c r="N240" s="358">
        <f t="shared" si="62"/>
        <v>10000000</v>
      </c>
      <c r="O240" s="359"/>
      <c r="P240" s="9">
        <f t="shared" si="55"/>
        <v>15</v>
      </c>
      <c r="R240" s="40">
        <f t="shared" si="56"/>
        <v>1878.0320571105231</v>
      </c>
      <c r="S240" s="35">
        <f t="shared" si="66"/>
        <v>291890.46756101114</v>
      </c>
      <c r="T240" s="36">
        <f t="shared" si="57"/>
        <v>64340.301100034303</v>
      </c>
      <c r="V240"/>
      <c r="W240"/>
      <c r="X240" s="9">
        <v>192</v>
      </c>
      <c r="Y240" s="6">
        <v>16</v>
      </c>
    </row>
    <row r="241" spans="1:25" ht="20.25" customHeight="1" x14ac:dyDescent="0.35">
      <c r="A241" s="195" t="s">
        <v>360</v>
      </c>
      <c r="B241" s="60">
        <v>193</v>
      </c>
      <c r="C241" s="34">
        <f t="shared" si="64"/>
        <v>64340.301100034303</v>
      </c>
      <c r="D241" s="38">
        <f t="shared" si="63"/>
        <v>34.479852614564713</v>
      </c>
      <c r="E241" s="34">
        <f t="shared" si="58"/>
        <v>0</v>
      </c>
      <c r="F241" s="15">
        <f t="shared" si="59"/>
        <v>45680.041202967288</v>
      </c>
      <c r="G241" s="15">
        <f t="shared" si="60"/>
        <v>5710.005150370911</v>
      </c>
      <c r="H241" s="363">
        <f t="shared" ref="H241:H304" si="67">S241*D241</f>
        <v>10000000.000000013</v>
      </c>
      <c r="I241" s="364"/>
      <c r="J241" s="362">
        <f t="shared" si="61"/>
        <v>64340.301100034303</v>
      </c>
      <c r="K241" s="361"/>
      <c r="L241" s="360">
        <f t="shared" si="65"/>
        <v>20074.173943210702</v>
      </c>
      <c r="M241" s="361"/>
      <c r="N241" s="358">
        <f t="shared" si="62"/>
        <v>10000000</v>
      </c>
      <c r="O241" s="359"/>
      <c r="P241" s="9">
        <f t="shared" ref="P241:P304" si="68">ROUNDUP(B241/12,0) - 1</f>
        <v>16</v>
      </c>
      <c r="R241" s="40">
        <f t="shared" ref="R241:R304" si="69">IF($X$16/D241&gt;S240,S240,$X$16/D241)</f>
        <v>1866.025989706701</v>
      </c>
      <c r="S241" s="35">
        <f t="shared" si="66"/>
        <v>290024.44157130446</v>
      </c>
      <c r="T241" s="36">
        <f t="shared" ref="T241:T304" si="70">IF($X$16/D241&gt;S240,S240*D241,$X$16)</f>
        <v>64340.301100034303</v>
      </c>
      <c r="V241"/>
      <c r="W241"/>
      <c r="X241" s="9">
        <v>193</v>
      </c>
      <c r="Y241" s="6">
        <v>17</v>
      </c>
    </row>
    <row r="242" spans="1:25" ht="20.25" customHeight="1" x14ac:dyDescent="0.35">
      <c r="A242" s="195" t="s">
        <v>361</v>
      </c>
      <c r="B242" s="63">
        <v>194</v>
      </c>
      <c r="C242" s="39">
        <f t="shared" si="64"/>
        <v>64340.301100034303</v>
      </c>
      <c r="D242" s="38">
        <f t="shared" si="63"/>
        <v>34.701697024475301</v>
      </c>
      <c r="E242" s="39">
        <f t="shared" ref="E242:E305" si="71">IF(AND(OR($N$5="Other",$N$5="Debt"), B242&lt;24),R242*(D242-10), IF(AND($N$5="Equity", B242&lt;12),R242*(D242-10), 0))</f>
        <v>0</v>
      </c>
      <c r="F242" s="40">
        <f t="shared" ref="F242:F305" si="72">IF(AND(OR($N$5="Other",$N$5="Debt"), B242&gt;=24),R242*(D242-10), IF(AND($N$5="Equity", B242&gt;=12),R242*(D242-10),0))</f>
        <v>45799.334341361173</v>
      </c>
      <c r="G242" s="40">
        <f t="shared" ref="G242:G305" si="73">IF(AND($N$5="Equity", B242&lt; 12), E242*20%, IF(AND($N$5="Equity", B242&gt;= 12),F242*12.5%, IF(AND($N$5="Other", B242&lt;24),E242*$H$8, IF(AND($N$5="Other", B242&gt;=24),F242*12.5%,F242*$H$8))))</f>
        <v>5724.9167926701466</v>
      </c>
      <c r="H242" s="360">
        <f t="shared" si="67"/>
        <v>10000000.000000011</v>
      </c>
      <c r="I242" s="365"/>
      <c r="J242" s="362">
        <f t="shared" si="61"/>
        <v>64340.301100034303</v>
      </c>
      <c r="K242" s="361"/>
      <c r="L242" s="360">
        <f t="shared" si="65"/>
        <v>20074.173943210702</v>
      </c>
      <c r="M242" s="361"/>
      <c r="N242" s="358">
        <f t="shared" si="62"/>
        <v>10000000</v>
      </c>
      <c r="O242" s="359"/>
      <c r="P242" s="9">
        <f t="shared" si="68"/>
        <v>16</v>
      </c>
      <c r="R242" s="40">
        <f t="shared" si="69"/>
        <v>1854.0966758673137</v>
      </c>
      <c r="S242" s="35">
        <f t="shared" si="66"/>
        <v>288170.34489543713</v>
      </c>
      <c r="T242" s="36">
        <f t="shared" si="70"/>
        <v>64340.301100034303</v>
      </c>
      <c r="V242"/>
      <c r="W242"/>
      <c r="X242" s="9">
        <v>194</v>
      </c>
      <c r="Y242" s="6">
        <v>17</v>
      </c>
    </row>
    <row r="243" spans="1:25" ht="20.25" customHeight="1" x14ac:dyDescent="0.35">
      <c r="A243" s="195" t="s">
        <v>360</v>
      </c>
      <c r="B243" s="60">
        <v>195</v>
      </c>
      <c r="C243" s="34">
        <f t="shared" si="64"/>
        <v>64340.301100034303</v>
      </c>
      <c r="D243" s="38">
        <f t="shared" si="63"/>
        <v>34.924968787998992</v>
      </c>
      <c r="E243" s="34">
        <f t="shared" si="71"/>
        <v>0</v>
      </c>
      <c r="F243" s="15">
        <f t="shared" si="72"/>
        <v>45917.864850887796</v>
      </c>
      <c r="G243" s="15">
        <f t="shared" si="73"/>
        <v>5739.7331063609745</v>
      </c>
      <c r="H243" s="363">
        <f t="shared" si="67"/>
        <v>10000000.000000011</v>
      </c>
      <c r="I243" s="364"/>
      <c r="J243" s="362">
        <f t="shared" si="61"/>
        <v>64340.301100034303</v>
      </c>
      <c r="K243" s="361"/>
      <c r="L243" s="360">
        <f t="shared" si="65"/>
        <v>20074.173943210702</v>
      </c>
      <c r="M243" s="361"/>
      <c r="N243" s="358">
        <f t="shared" si="62"/>
        <v>10000000</v>
      </c>
      <c r="O243" s="359"/>
      <c r="P243" s="9">
        <f t="shared" si="68"/>
        <v>16</v>
      </c>
      <c r="R243" s="40">
        <f t="shared" si="69"/>
        <v>1842.2436249146508</v>
      </c>
      <c r="S243" s="35">
        <f t="shared" si="66"/>
        <v>286328.10127052246</v>
      </c>
      <c r="T243" s="36">
        <f t="shared" si="70"/>
        <v>64340.301100034303</v>
      </c>
      <c r="V243"/>
      <c r="W243"/>
      <c r="X243" s="9">
        <v>195</v>
      </c>
      <c r="Y243" s="6">
        <v>17</v>
      </c>
    </row>
    <row r="244" spans="1:25" ht="20.25" customHeight="1" x14ac:dyDescent="0.35">
      <c r="A244" s="195" t="s">
        <v>361</v>
      </c>
      <c r="B244" s="63">
        <v>196</v>
      </c>
      <c r="C244" s="39">
        <f t="shared" si="64"/>
        <v>64340.301100034303</v>
      </c>
      <c r="D244" s="38">
        <f t="shared" si="63"/>
        <v>35.149677088771909</v>
      </c>
      <c r="E244" s="39">
        <f t="shared" si="71"/>
        <v>0</v>
      </c>
      <c r="F244" s="40">
        <f t="shared" si="72"/>
        <v>46035.637606955745</v>
      </c>
      <c r="G244" s="40">
        <f t="shared" si="73"/>
        <v>5754.4547008694681</v>
      </c>
      <c r="H244" s="360">
        <f t="shared" si="67"/>
        <v>10000000.000000011</v>
      </c>
      <c r="I244" s="365"/>
      <c r="J244" s="362">
        <f t="shared" si="61"/>
        <v>64340.301100034303</v>
      </c>
      <c r="K244" s="361"/>
      <c r="L244" s="360">
        <f t="shared" si="65"/>
        <v>20074.173943210702</v>
      </c>
      <c r="M244" s="361"/>
      <c r="N244" s="358">
        <f t="shared" si="62"/>
        <v>10000000</v>
      </c>
      <c r="O244" s="359"/>
      <c r="P244" s="9">
        <f t="shared" si="68"/>
        <v>16</v>
      </c>
      <c r="R244" s="40">
        <f t="shared" si="69"/>
        <v>1830.466349307856</v>
      </c>
      <c r="S244" s="35">
        <f t="shared" si="66"/>
        <v>284497.6349212146</v>
      </c>
      <c r="T244" s="36">
        <f t="shared" si="70"/>
        <v>64340.301100034303</v>
      </c>
      <c r="V244"/>
      <c r="W244"/>
      <c r="X244" s="9">
        <v>196</v>
      </c>
      <c r="Y244" s="6">
        <v>17</v>
      </c>
    </row>
    <row r="245" spans="1:25" ht="20.25" customHeight="1" x14ac:dyDescent="0.35">
      <c r="A245" s="195" t="s">
        <v>360</v>
      </c>
      <c r="B245" s="60">
        <v>197</v>
      </c>
      <c r="C245" s="34">
        <f t="shared" si="64"/>
        <v>64340.301100034303</v>
      </c>
      <c r="D245" s="38">
        <f t="shared" si="63"/>
        <v>35.375831169517966</v>
      </c>
      <c r="E245" s="34">
        <f t="shared" si="71"/>
        <v>0</v>
      </c>
      <c r="F245" s="15">
        <f t="shared" si="72"/>
        <v>46152.657453805594</v>
      </c>
      <c r="G245" s="15">
        <f t="shared" si="73"/>
        <v>5769.0821817256992</v>
      </c>
      <c r="H245" s="363">
        <f t="shared" si="67"/>
        <v>10000000.000000011</v>
      </c>
      <c r="I245" s="364"/>
      <c r="J245" s="362">
        <f t="shared" si="61"/>
        <v>64340.301100034303</v>
      </c>
      <c r="K245" s="361"/>
      <c r="L245" s="360">
        <f t="shared" si="65"/>
        <v>20074.173943210702</v>
      </c>
      <c r="M245" s="361"/>
      <c r="N245" s="358">
        <f t="shared" si="62"/>
        <v>10000000</v>
      </c>
      <c r="O245" s="359"/>
      <c r="P245" s="9">
        <f t="shared" si="68"/>
        <v>16</v>
      </c>
      <c r="R245" s="40">
        <f t="shared" si="69"/>
        <v>1818.7643646228712</v>
      </c>
      <c r="S245" s="35">
        <f t="shared" si="66"/>
        <v>282678.87055659172</v>
      </c>
      <c r="T245" s="36">
        <f t="shared" si="70"/>
        <v>64340.301100034303</v>
      </c>
      <c r="V245"/>
      <c r="W245"/>
      <c r="X245" s="9">
        <v>197</v>
      </c>
      <c r="Y245" s="6">
        <v>17</v>
      </c>
    </row>
    <row r="246" spans="1:25" ht="20.25" customHeight="1" x14ac:dyDescent="0.35">
      <c r="A246" s="195" t="s">
        <v>361</v>
      </c>
      <c r="B246" s="63">
        <v>198</v>
      </c>
      <c r="C246" s="39">
        <f t="shared" si="64"/>
        <v>64340.301100034303</v>
      </c>
      <c r="D246" s="38">
        <f t="shared" si="63"/>
        <v>35.603440332429045</v>
      </c>
      <c r="E246" s="39">
        <f t="shared" si="71"/>
        <v>0</v>
      </c>
      <c r="F246" s="40">
        <f t="shared" si="72"/>
        <v>46268.929204709188</v>
      </c>
      <c r="G246" s="40">
        <f t="shared" si="73"/>
        <v>5783.6161505886485</v>
      </c>
      <c r="H246" s="360">
        <f t="shared" si="67"/>
        <v>10000000.000000013</v>
      </c>
      <c r="I246" s="365"/>
      <c r="J246" s="362">
        <f t="shared" si="61"/>
        <v>64340.301100034303</v>
      </c>
      <c r="K246" s="361"/>
      <c r="L246" s="360">
        <f t="shared" si="65"/>
        <v>20074.173943210702</v>
      </c>
      <c r="M246" s="361"/>
      <c r="N246" s="358">
        <f t="shared" si="62"/>
        <v>10000000</v>
      </c>
      <c r="O246" s="359"/>
      <c r="P246" s="9">
        <f t="shared" si="68"/>
        <v>16</v>
      </c>
      <c r="R246" s="40">
        <f t="shared" si="69"/>
        <v>1807.1371895325119</v>
      </c>
      <c r="S246" s="35">
        <f t="shared" si="66"/>
        <v>280871.73336705921</v>
      </c>
      <c r="T246" s="36">
        <f t="shared" si="70"/>
        <v>64340.301100034303</v>
      </c>
      <c r="V246"/>
      <c r="W246"/>
      <c r="X246" s="9">
        <v>198</v>
      </c>
      <c r="Y246" s="6">
        <v>17</v>
      </c>
    </row>
    <row r="247" spans="1:25" ht="20.25" customHeight="1" x14ac:dyDescent="0.35">
      <c r="A247" s="195" t="s">
        <v>360</v>
      </c>
      <c r="B247" s="60">
        <v>199</v>
      </c>
      <c r="C247" s="34">
        <f t="shared" si="64"/>
        <v>64340.301100034303</v>
      </c>
      <c r="D247" s="38">
        <f t="shared" si="63"/>
        <v>35.832513939547603</v>
      </c>
      <c r="E247" s="34">
        <f t="shared" si="71"/>
        <v>0</v>
      </c>
      <c r="F247" s="15">
        <f t="shared" si="72"/>
        <v>46384.45764216761</v>
      </c>
      <c r="G247" s="15">
        <f t="shared" si="73"/>
        <v>5798.0572052709513</v>
      </c>
      <c r="H247" s="363">
        <f t="shared" si="67"/>
        <v>10000000.000000013</v>
      </c>
      <c r="I247" s="364"/>
      <c r="J247" s="362">
        <f t="shared" si="61"/>
        <v>64340.301100034303</v>
      </c>
      <c r="K247" s="361"/>
      <c r="L247" s="360">
        <f t="shared" si="65"/>
        <v>20074.173943210702</v>
      </c>
      <c r="M247" s="361"/>
      <c r="N247" s="358">
        <f t="shared" si="62"/>
        <v>10000000</v>
      </c>
      <c r="O247" s="359"/>
      <c r="P247" s="9">
        <f t="shared" si="68"/>
        <v>16</v>
      </c>
      <c r="R247" s="40">
        <f t="shared" si="69"/>
        <v>1795.5843457866697</v>
      </c>
      <c r="S247" s="35">
        <f t="shared" si="66"/>
        <v>279076.14902127255</v>
      </c>
      <c r="T247" s="36">
        <f t="shared" si="70"/>
        <v>64340.301100034303</v>
      </c>
      <c r="V247"/>
      <c r="W247"/>
      <c r="X247" s="9">
        <v>199</v>
      </c>
      <c r="Y247" s="6">
        <v>17</v>
      </c>
    </row>
    <row r="248" spans="1:25" ht="20.25" customHeight="1" x14ac:dyDescent="0.35">
      <c r="A248" s="195" t="s">
        <v>361</v>
      </c>
      <c r="B248" s="63">
        <v>200</v>
      </c>
      <c r="C248" s="39">
        <f t="shared" si="64"/>
        <v>64340.301100034303</v>
      </c>
      <c r="D248" s="38">
        <f t="shared" si="63"/>
        <v>36.063061413151772</v>
      </c>
      <c r="E248" s="39">
        <f t="shared" si="71"/>
        <v>0</v>
      </c>
      <c r="F248" s="40">
        <f t="shared" si="72"/>
        <v>46499.247518107906</v>
      </c>
      <c r="G248" s="40">
        <f t="shared" si="73"/>
        <v>5812.4059397634883</v>
      </c>
      <c r="H248" s="360">
        <f t="shared" si="67"/>
        <v>10000000.000000013</v>
      </c>
      <c r="I248" s="365"/>
      <c r="J248" s="362">
        <f t="shared" si="61"/>
        <v>64340.301100034303</v>
      </c>
      <c r="K248" s="361"/>
      <c r="L248" s="360">
        <f t="shared" si="65"/>
        <v>20074.173943210702</v>
      </c>
      <c r="M248" s="361"/>
      <c r="N248" s="358">
        <f t="shared" si="62"/>
        <v>10000000</v>
      </c>
      <c r="O248" s="359"/>
      <c r="P248" s="9">
        <f t="shared" si="68"/>
        <v>16</v>
      </c>
      <c r="R248" s="40">
        <f t="shared" si="69"/>
        <v>1784.1053581926396</v>
      </c>
      <c r="S248" s="35">
        <f t="shared" si="66"/>
        <v>277292.04366307991</v>
      </c>
      <c r="T248" s="36">
        <f t="shared" si="70"/>
        <v>64340.301100034303</v>
      </c>
      <c r="V248"/>
      <c r="W248"/>
      <c r="X248" s="9">
        <v>200</v>
      </c>
      <c r="Y248" s="6">
        <v>17</v>
      </c>
    </row>
    <row r="249" spans="1:25" ht="20.25" customHeight="1" x14ac:dyDescent="0.35">
      <c r="A249" s="195" t="s">
        <v>360</v>
      </c>
      <c r="B249" s="60">
        <v>201</v>
      </c>
      <c r="C249" s="34">
        <f t="shared" si="64"/>
        <v>64340.301100034303</v>
      </c>
      <c r="D249" s="38">
        <f t="shared" si="63"/>
        <v>36.295092236142892</v>
      </c>
      <c r="E249" s="34">
        <f t="shared" si="71"/>
        <v>0</v>
      </c>
      <c r="F249" s="15">
        <f t="shared" si="72"/>
        <v>46613.303554078542</v>
      </c>
      <c r="G249" s="15">
        <f t="shared" si="73"/>
        <v>5826.6629442598178</v>
      </c>
      <c r="H249" s="363">
        <f t="shared" si="67"/>
        <v>10000000.000000013</v>
      </c>
      <c r="I249" s="364"/>
      <c r="J249" s="362">
        <f t="shared" si="61"/>
        <v>64340.301100034303</v>
      </c>
      <c r="K249" s="361"/>
      <c r="L249" s="360">
        <f t="shared" si="65"/>
        <v>20074.173943210702</v>
      </c>
      <c r="M249" s="361"/>
      <c r="N249" s="358">
        <f t="shared" si="62"/>
        <v>10000000</v>
      </c>
      <c r="O249" s="359"/>
      <c r="P249" s="9">
        <f t="shared" si="68"/>
        <v>16</v>
      </c>
      <c r="R249" s="40">
        <f t="shared" si="69"/>
        <v>1772.699754595576</v>
      </c>
      <c r="S249" s="35">
        <f t="shared" si="66"/>
        <v>275519.34390848433</v>
      </c>
      <c r="T249" s="36">
        <f t="shared" si="70"/>
        <v>64340.301100034303</v>
      </c>
      <c r="V249"/>
      <c r="W249"/>
      <c r="X249" s="9">
        <v>201</v>
      </c>
      <c r="Y249" s="6">
        <v>17</v>
      </c>
    </row>
    <row r="250" spans="1:25" ht="20.25" customHeight="1" x14ac:dyDescent="0.35">
      <c r="A250" s="195" t="s">
        <v>361</v>
      </c>
      <c r="B250" s="63">
        <v>202</v>
      </c>
      <c r="C250" s="39">
        <f t="shared" si="64"/>
        <v>64340.301100034303</v>
      </c>
      <c r="D250" s="38">
        <f t="shared" si="63"/>
        <v>36.528615952435587</v>
      </c>
      <c r="E250" s="39">
        <f t="shared" si="71"/>
        <v>0</v>
      </c>
      <c r="F250" s="40">
        <f t="shared" si="72"/>
        <v>46726.630441443594</v>
      </c>
      <c r="G250" s="40">
        <f t="shared" si="73"/>
        <v>5840.8288051804493</v>
      </c>
      <c r="H250" s="360">
        <f t="shared" si="67"/>
        <v>10000000.000000013</v>
      </c>
      <c r="I250" s="365"/>
      <c r="J250" s="362">
        <f t="shared" si="61"/>
        <v>64340.301100034303</v>
      </c>
      <c r="K250" s="361"/>
      <c r="L250" s="360">
        <f t="shared" si="65"/>
        <v>20074.173943210702</v>
      </c>
      <c r="M250" s="361"/>
      <c r="N250" s="358">
        <f t="shared" si="62"/>
        <v>10000000</v>
      </c>
      <c r="O250" s="359"/>
      <c r="P250" s="9">
        <f t="shared" si="68"/>
        <v>16</v>
      </c>
      <c r="R250" s="40">
        <f t="shared" si="69"/>
        <v>1761.3670658590704</v>
      </c>
      <c r="S250" s="35">
        <f t="shared" si="66"/>
        <v>273757.97684262524</v>
      </c>
      <c r="T250" s="36">
        <f t="shared" si="70"/>
        <v>64340.301100034303</v>
      </c>
      <c r="V250"/>
      <c r="W250"/>
      <c r="X250" s="9">
        <v>202</v>
      </c>
      <c r="Y250" s="6">
        <v>17</v>
      </c>
    </row>
    <row r="251" spans="1:25" ht="20.25" customHeight="1" x14ac:dyDescent="0.35">
      <c r="A251" s="195" t="s">
        <v>360</v>
      </c>
      <c r="B251" s="60">
        <v>203</v>
      </c>
      <c r="C251" s="34">
        <f t="shared" si="64"/>
        <v>64340.301100034303</v>
      </c>
      <c r="D251" s="38">
        <f t="shared" si="63"/>
        <v>36.763642167350312</v>
      </c>
      <c r="E251" s="34">
        <f t="shared" si="71"/>
        <v>0</v>
      </c>
      <c r="F251" s="15">
        <f t="shared" si="72"/>
        <v>46839.232841575751</v>
      </c>
      <c r="G251" s="15">
        <f t="shared" si="73"/>
        <v>5854.9041051969689</v>
      </c>
      <c r="H251" s="363">
        <f t="shared" si="67"/>
        <v>10000000.000000013</v>
      </c>
      <c r="I251" s="364"/>
      <c r="J251" s="362">
        <f t="shared" si="61"/>
        <v>64340.301100034303</v>
      </c>
      <c r="K251" s="361"/>
      <c r="L251" s="360">
        <f t="shared" si="65"/>
        <v>20074.173943210702</v>
      </c>
      <c r="M251" s="361"/>
      <c r="N251" s="358">
        <f t="shared" si="62"/>
        <v>10000000</v>
      </c>
      <c r="O251" s="359"/>
      <c r="P251" s="9">
        <f t="shared" si="68"/>
        <v>16</v>
      </c>
      <c r="R251" s="40">
        <f t="shared" si="69"/>
        <v>1750.1068258458556</v>
      </c>
      <c r="S251" s="35">
        <f t="shared" si="66"/>
        <v>272007.8700167794</v>
      </c>
      <c r="T251" s="36">
        <f t="shared" si="70"/>
        <v>64340.301100034303</v>
      </c>
      <c r="V251"/>
      <c r="W251"/>
      <c r="X251" s="9">
        <v>203</v>
      </c>
      <c r="Y251" s="6">
        <v>17</v>
      </c>
    </row>
    <row r="252" spans="1:25" ht="20.25" customHeight="1" x14ac:dyDescent="0.35">
      <c r="A252" s="195" t="s">
        <v>361</v>
      </c>
      <c r="B252" s="63">
        <v>204</v>
      </c>
      <c r="C252" s="39">
        <f t="shared" si="64"/>
        <v>64340.301100034303</v>
      </c>
      <c r="D252" s="38">
        <f t="shared" si="63"/>
        <v>37.000180548008437</v>
      </c>
      <c r="E252" s="39">
        <f t="shared" si="71"/>
        <v>0</v>
      </c>
      <c r="F252" s="40">
        <f t="shared" si="72"/>
        <v>46951.115386047983</v>
      </c>
      <c r="G252" s="40">
        <f t="shared" si="73"/>
        <v>5868.8894232559978</v>
      </c>
      <c r="H252" s="360">
        <f t="shared" si="67"/>
        <v>10000000.000000013</v>
      </c>
      <c r="I252" s="365"/>
      <c r="J252" s="362">
        <f t="shared" si="61"/>
        <v>64340.301100034303</v>
      </c>
      <c r="K252" s="361"/>
      <c r="L252" s="360">
        <f t="shared" si="65"/>
        <v>20074.173943210702</v>
      </c>
      <c r="M252" s="361"/>
      <c r="N252" s="358">
        <f t="shared" si="62"/>
        <v>10000000</v>
      </c>
      <c r="O252" s="359"/>
      <c r="P252" s="9">
        <f t="shared" si="68"/>
        <v>16</v>
      </c>
      <c r="R252" s="40">
        <f t="shared" si="69"/>
        <v>1738.9185713986326</v>
      </c>
      <c r="S252" s="35">
        <f t="shared" si="66"/>
        <v>270268.95144538075</v>
      </c>
      <c r="T252" s="36">
        <f t="shared" si="70"/>
        <v>64340.301100034303</v>
      </c>
      <c r="V252"/>
      <c r="W252"/>
      <c r="X252" s="9">
        <v>204</v>
      </c>
      <c r="Y252" s="6">
        <v>17</v>
      </c>
    </row>
    <row r="253" spans="1:25" ht="20.25" customHeight="1" x14ac:dyDescent="0.35">
      <c r="A253" s="195" t="s">
        <v>360</v>
      </c>
      <c r="B253" s="60">
        <v>205</v>
      </c>
      <c r="C253" s="34">
        <f t="shared" si="64"/>
        <v>64340.301100034303</v>
      </c>
      <c r="D253" s="38">
        <f t="shared" si="63"/>
        <v>37.238240823729889</v>
      </c>
      <c r="E253" s="34">
        <f t="shared" si="71"/>
        <v>0</v>
      </c>
      <c r="F253" s="15">
        <f t="shared" si="72"/>
        <v>47062.282676824107</v>
      </c>
      <c r="G253" s="15">
        <f t="shared" si="73"/>
        <v>5882.7853346030133</v>
      </c>
      <c r="H253" s="363">
        <f t="shared" si="67"/>
        <v>10000000.000000015</v>
      </c>
      <c r="I253" s="364"/>
      <c r="J253" s="362">
        <f t="shared" si="61"/>
        <v>64340.301100034303</v>
      </c>
      <c r="K253" s="361"/>
      <c r="L253" s="360">
        <f t="shared" si="65"/>
        <v>20074.173943210702</v>
      </c>
      <c r="M253" s="361"/>
      <c r="N253" s="358">
        <f t="shared" si="62"/>
        <v>10000000</v>
      </c>
      <c r="O253" s="359"/>
      <c r="P253" s="9">
        <f t="shared" si="68"/>
        <v>17</v>
      </c>
      <c r="R253" s="40">
        <f t="shared" si="69"/>
        <v>1727.8018423210196</v>
      </c>
      <c r="S253" s="35">
        <f t="shared" si="66"/>
        <v>268541.14960305975</v>
      </c>
      <c r="T253" s="36">
        <f t="shared" si="70"/>
        <v>64340.301100034303</v>
      </c>
      <c r="V253"/>
      <c r="W253"/>
      <c r="X253" s="9">
        <v>205</v>
      </c>
      <c r="Y253" s="6">
        <v>18</v>
      </c>
    </row>
    <row r="254" spans="1:25" ht="20.25" customHeight="1" x14ac:dyDescent="0.35">
      <c r="A254" s="195" t="s">
        <v>361</v>
      </c>
      <c r="B254" s="63">
        <v>206</v>
      </c>
      <c r="C254" s="39">
        <f t="shared" si="64"/>
        <v>64340.301100034303</v>
      </c>
      <c r="D254" s="38">
        <f t="shared" si="63"/>
        <v>37.477832786433325</v>
      </c>
      <c r="E254" s="39">
        <f t="shared" si="71"/>
        <v>0</v>
      </c>
      <c r="F254" s="40">
        <f t="shared" si="72"/>
        <v>47172.739286448064</v>
      </c>
      <c r="G254" s="40">
        <f t="shared" si="73"/>
        <v>5896.592410806008</v>
      </c>
      <c r="H254" s="360">
        <f t="shared" si="67"/>
        <v>10000000.000000013</v>
      </c>
      <c r="I254" s="365"/>
      <c r="J254" s="362">
        <f t="shared" si="61"/>
        <v>64340.301100034303</v>
      </c>
      <c r="K254" s="361"/>
      <c r="L254" s="360">
        <f t="shared" si="65"/>
        <v>20074.173943210702</v>
      </c>
      <c r="M254" s="361"/>
      <c r="N254" s="358">
        <f t="shared" si="62"/>
        <v>10000000</v>
      </c>
      <c r="O254" s="359"/>
      <c r="P254" s="9">
        <f t="shared" si="68"/>
        <v>17</v>
      </c>
      <c r="R254" s="40">
        <f t="shared" si="69"/>
        <v>1716.7561813586237</v>
      </c>
      <c r="S254" s="35">
        <f t="shared" si="66"/>
        <v>266824.3934217011</v>
      </c>
      <c r="T254" s="36">
        <f t="shared" si="70"/>
        <v>64340.301100034303</v>
      </c>
      <c r="V254"/>
      <c r="W254"/>
      <c r="X254" s="9">
        <v>206</v>
      </c>
      <c r="Y254" s="6">
        <v>18</v>
      </c>
    </row>
    <row r="255" spans="1:25" ht="20.25" customHeight="1" x14ac:dyDescent="0.35">
      <c r="A255" s="195" t="s">
        <v>360</v>
      </c>
      <c r="B255" s="60">
        <v>207</v>
      </c>
      <c r="C255" s="34">
        <f t="shared" si="64"/>
        <v>64340.301100034303</v>
      </c>
      <c r="D255" s="38">
        <f t="shared" si="63"/>
        <v>37.71896629103891</v>
      </c>
      <c r="E255" s="34">
        <f t="shared" si="71"/>
        <v>0</v>
      </c>
      <c r="F255" s="15">
        <f t="shared" si="72"/>
        <v>47282.489758231983</v>
      </c>
      <c r="G255" s="15">
        <f t="shared" si="73"/>
        <v>5910.3112197789978</v>
      </c>
      <c r="H255" s="363">
        <f t="shared" si="67"/>
        <v>10000000.000000013</v>
      </c>
      <c r="I255" s="364"/>
      <c r="J255" s="362">
        <f t="shared" si="61"/>
        <v>64340.301100034303</v>
      </c>
      <c r="K255" s="361"/>
      <c r="L255" s="360">
        <f t="shared" si="65"/>
        <v>20074.173943210702</v>
      </c>
      <c r="M255" s="361"/>
      <c r="N255" s="358">
        <f t="shared" si="62"/>
        <v>10000000</v>
      </c>
      <c r="O255" s="359"/>
      <c r="P255" s="9">
        <f t="shared" si="68"/>
        <v>17</v>
      </c>
      <c r="R255" s="40">
        <f t="shared" si="69"/>
        <v>1705.7811341802324</v>
      </c>
      <c r="S255" s="35">
        <f t="shared" si="66"/>
        <v>265118.61228752084</v>
      </c>
      <c r="T255" s="36">
        <f t="shared" si="70"/>
        <v>64340.301100034303</v>
      </c>
      <c r="V255"/>
      <c r="W255"/>
      <c r="X255" s="9">
        <v>207</v>
      </c>
      <c r="Y255" s="6">
        <v>18</v>
      </c>
    </row>
    <row r="256" spans="1:25" ht="20.25" customHeight="1" x14ac:dyDescent="0.35">
      <c r="A256" s="195" t="s">
        <v>361</v>
      </c>
      <c r="B256" s="63">
        <v>208</v>
      </c>
      <c r="C256" s="39">
        <f t="shared" si="64"/>
        <v>64340.301100034303</v>
      </c>
      <c r="D256" s="38">
        <f t="shared" si="63"/>
        <v>37.961651255873662</v>
      </c>
      <c r="E256" s="39">
        <f t="shared" si="71"/>
        <v>0</v>
      </c>
      <c r="F256" s="40">
        <f t="shared" si="72"/>
        <v>47391.538606443042</v>
      </c>
      <c r="G256" s="40">
        <f t="shared" si="73"/>
        <v>5923.9423258053803</v>
      </c>
      <c r="H256" s="360">
        <f t="shared" si="67"/>
        <v>10000000.000000015</v>
      </c>
      <c r="I256" s="365"/>
      <c r="J256" s="362">
        <f t="shared" si="61"/>
        <v>64340.301100034303</v>
      </c>
      <c r="K256" s="361"/>
      <c r="L256" s="360">
        <f t="shared" si="65"/>
        <v>20074.173943210702</v>
      </c>
      <c r="M256" s="361"/>
      <c r="N256" s="358">
        <f t="shared" si="62"/>
        <v>10000000</v>
      </c>
      <c r="O256" s="359"/>
      <c r="P256" s="9">
        <f t="shared" si="68"/>
        <v>17</v>
      </c>
      <c r="R256" s="40">
        <f t="shared" si="69"/>
        <v>1694.8762493591259</v>
      </c>
      <c r="S256" s="35">
        <f t="shared" si="66"/>
        <v>263423.73603816173</v>
      </c>
      <c r="T256" s="36">
        <f t="shared" si="70"/>
        <v>64340.301100034303</v>
      </c>
      <c r="V256"/>
      <c r="W256"/>
      <c r="X256" s="9">
        <v>208</v>
      </c>
      <c r="Y256" s="6">
        <v>18</v>
      </c>
    </row>
    <row r="257" spans="1:25" ht="20.25" customHeight="1" x14ac:dyDescent="0.35">
      <c r="A257" s="195" t="s">
        <v>360</v>
      </c>
      <c r="B257" s="60">
        <v>209</v>
      </c>
      <c r="C257" s="34">
        <f t="shared" si="64"/>
        <v>64340.301100034303</v>
      </c>
      <c r="D257" s="38">
        <f t="shared" si="63"/>
        <v>38.205897663079405</v>
      </c>
      <c r="E257" s="34">
        <f t="shared" si="71"/>
        <v>0</v>
      </c>
      <c r="F257" s="15">
        <f t="shared" si="72"/>
        <v>47499.890316489204</v>
      </c>
      <c r="G257" s="15">
        <f t="shared" si="73"/>
        <v>5937.4862895611504</v>
      </c>
      <c r="H257" s="363">
        <f t="shared" si="67"/>
        <v>10000000.000000015</v>
      </c>
      <c r="I257" s="364"/>
      <c r="J257" s="362">
        <f t="shared" si="61"/>
        <v>64340.301100034303</v>
      </c>
      <c r="K257" s="361"/>
      <c r="L257" s="360">
        <f t="shared" si="65"/>
        <v>20074.173943210702</v>
      </c>
      <c r="M257" s="361"/>
      <c r="N257" s="358">
        <f t="shared" si="62"/>
        <v>10000000</v>
      </c>
      <c r="O257" s="359"/>
      <c r="P257" s="9">
        <f t="shared" si="68"/>
        <v>17</v>
      </c>
      <c r="R257" s="40">
        <f t="shared" si="69"/>
        <v>1684.0410783545103</v>
      </c>
      <c r="S257" s="35">
        <f t="shared" si="66"/>
        <v>261739.69495980721</v>
      </c>
      <c r="T257" s="36">
        <f t="shared" si="70"/>
        <v>64340.301100034303</v>
      </c>
      <c r="V257"/>
      <c r="W257"/>
      <c r="X257" s="9">
        <v>209</v>
      </c>
      <c r="Y257" s="6">
        <v>18</v>
      </c>
    </row>
    <row r="258" spans="1:25" ht="20.25" customHeight="1" x14ac:dyDescent="0.35">
      <c r="A258" s="195" t="s">
        <v>361</v>
      </c>
      <c r="B258" s="63">
        <v>210</v>
      </c>
      <c r="C258" s="39">
        <f t="shared" si="64"/>
        <v>64340.301100034303</v>
      </c>
      <c r="D258" s="38">
        <f t="shared" si="63"/>
        <v>38.45171555902337</v>
      </c>
      <c r="E258" s="39">
        <f t="shared" si="71"/>
        <v>0</v>
      </c>
      <c r="F258" s="40">
        <f t="shared" si="72"/>
        <v>47607.549345103638</v>
      </c>
      <c r="G258" s="40">
        <f t="shared" si="73"/>
        <v>5950.9436681379548</v>
      </c>
      <c r="H258" s="360">
        <f t="shared" si="67"/>
        <v>10000000.000000015</v>
      </c>
      <c r="I258" s="365"/>
      <c r="J258" s="362">
        <f t="shared" si="61"/>
        <v>64340.301100034303</v>
      </c>
      <c r="K258" s="361"/>
      <c r="L258" s="360">
        <f t="shared" si="65"/>
        <v>20074.173943210702</v>
      </c>
      <c r="M258" s="361"/>
      <c r="N258" s="358">
        <f t="shared" si="62"/>
        <v>10000000</v>
      </c>
      <c r="O258" s="359"/>
      <c r="P258" s="9">
        <f t="shared" si="68"/>
        <v>17</v>
      </c>
      <c r="R258" s="40">
        <f t="shared" si="69"/>
        <v>1673.2751754930664</v>
      </c>
      <c r="S258" s="35">
        <f t="shared" si="66"/>
        <v>260066.41978431414</v>
      </c>
      <c r="T258" s="36">
        <f t="shared" si="70"/>
        <v>64340.301100034303</v>
      </c>
      <c r="V258"/>
      <c r="W258"/>
      <c r="X258" s="9">
        <v>210</v>
      </c>
      <c r="Y258" s="6">
        <v>18</v>
      </c>
    </row>
    <row r="259" spans="1:25" ht="20.25" customHeight="1" x14ac:dyDescent="0.35">
      <c r="A259" s="195" t="s">
        <v>360</v>
      </c>
      <c r="B259" s="60">
        <v>211</v>
      </c>
      <c r="C259" s="34">
        <f t="shared" si="64"/>
        <v>64340.301100034303</v>
      </c>
      <c r="D259" s="38">
        <f t="shared" si="63"/>
        <v>38.699115054711413</v>
      </c>
      <c r="E259" s="34">
        <f t="shared" si="71"/>
        <v>0</v>
      </c>
      <c r="F259" s="15">
        <f t="shared" si="72"/>
        <v>47714.520120528097</v>
      </c>
      <c r="G259" s="15">
        <f t="shared" si="73"/>
        <v>5964.3150150660122</v>
      </c>
      <c r="H259" s="363">
        <f t="shared" si="67"/>
        <v>10000000.000000015</v>
      </c>
      <c r="I259" s="364"/>
      <c r="J259" s="362">
        <f t="shared" si="61"/>
        <v>64340.301100034303</v>
      </c>
      <c r="K259" s="361"/>
      <c r="L259" s="360">
        <f t="shared" si="65"/>
        <v>20074.173943210702</v>
      </c>
      <c r="M259" s="361"/>
      <c r="N259" s="358">
        <f t="shared" si="62"/>
        <v>10000000</v>
      </c>
      <c r="O259" s="359"/>
      <c r="P259" s="9">
        <f t="shared" si="68"/>
        <v>17</v>
      </c>
      <c r="R259" s="40">
        <f t="shared" si="69"/>
        <v>1662.5780979506198</v>
      </c>
      <c r="S259" s="35">
        <f t="shared" si="66"/>
        <v>258403.84168636354</v>
      </c>
      <c r="T259" s="36">
        <f t="shared" si="70"/>
        <v>64340.301100034303</v>
      </c>
      <c r="V259"/>
      <c r="W259"/>
      <c r="X259" s="9">
        <v>211</v>
      </c>
      <c r="Y259" s="6">
        <v>18</v>
      </c>
    </row>
    <row r="260" spans="1:25" ht="20.25" customHeight="1" x14ac:dyDescent="0.35">
      <c r="A260" s="195" t="s">
        <v>361</v>
      </c>
      <c r="B260" s="63">
        <v>212</v>
      </c>
      <c r="C260" s="39">
        <f t="shared" si="64"/>
        <v>64340.301100034303</v>
      </c>
      <c r="D260" s="38">
        <f t="shared" si="63"/>
        <v>38.948106326203913</v>
      </c>
      <c r="E260" s="39">
        <f t="shared" si="71"/>
        <v>0</v>
      </c>
      <c r="F260" s="40">
        <f t="shared" si="72"/>
        <v>47820.807042695051</v>
      </c>
      <c r="G260" s="40">
        <f t="shared" si="73"/>
        <v>5977.6008803368813</v>
      </c>
      <c r="H260" s="360">
        <f t="shared" si="67"/>
        <v>10000000.000000015</v>
      </c>
      <c r="I260" s="365"/>
      <c r="J260" s="362">
        <f t="shared" si="61"/>
        <v>64340.301100034303</v>
      </c>
      <c r="K260" s="361"/>
      <c r="L260" s="360">
        <f t="shared" si="65"/>
        <v>20074.173943210702</v>
      </c>
      <c r="M260" s="361"/>
      <c r="N260" s="358">
        <f t="shared" si="62"/>
        <v>10000000</v>
      </c>
      <c r="O260" s="359"/>
      <c r="P260" s="9">
        <f t="shared" si="68"/>
        <v>17</v>
      </c>
      <c r="R260" s="40">
        <f t="shared" si="69"/>
        <v>1651.9494057339257</v>
      </c>
      <c r="S260" s="35">
        <f t="shared" si="66"/>
        <v>256751.8922806296</v>
      </c>
      <c r="T260" s="36">
        <f t="shared" si="70"/>
        <v>64340.301100034303</v>
      </c>
      <c r="V260"/>
      <c r="W260"/>
      <c r="X260" s="9">
        <v>212</v>
      </c>
      <c r="Y260" s="6">
        <v>18</v>
      </c>
    </row>
    <row r="261" spans="1:25" ht="20.25" customHeight="1" x14ac:dyDescent="0.35">
      <c r="A261" s="195" t="s">
        <v>360</v>
      </c>
      <c r="B261" s="60">
        <v>213</v>
      </c>
      <c r="C261" s="34">
        <f t="shared" si="64"/>
        <v>64340.301100034303</v>
      </c>
      <c r="D261" s="38">
        <f t="shared" si="63"/>
        <v>39.198699615034322</v>
      </c>
      <c r="E261" s="34">
        <f t="shared" si="71"/>
        <v>0</v>
      </c>
      <c r="F261" s="15">
        <f t="shared" si="72"/>
        <v>47926.414483408596</v>
      </c>
      <c r="G261" s="15">
        <f t="shared" si="73"/>
        <v>5990.8018104260746</v>
      </c>
      <c r="H261" s="363">
        <f t="shared" si="67"/>
        <v>10000000.000000015</v>
      </c>
      <c r="I261" s="364"/>
      <c r="J261" s="362">
        <f t="shared" si="61"/>
        <v>64340.301100034303</v>
      </c>
      <c r="K261" s="361"/>
      <c r="L261" s="360">
        <f t="shared" si="65"/>
        <v>20074.173943210702</v>
      </c>
      <c r="M261" s="361"/>
      <c r="N261" s="358">
        <f t="shared" si="62"/>
        <v>10000000</v>
      </c>
      <c r="O261" s="359"/>
      <c r="P261" s="9">
        <f t="shared" si="68"/>
        <v>17</v>
      </c>
      <c r="R261" s="40">
        <f t="shared" si="69"/>
        <v>1641.3886616625705</v>
      </c>
      <c r="S261" s="35">
        <f t="shared" si="66"/>
        <v>255110.50361896702</v>
      </c>
      <c r="T261" s="36">
        <f t="shared" si="70"/>
        <v>64340.301100034303</v>
      </c>
      <c r="V261"/>
      <c r="W261"/>
      <c r="X261" s="9">
        <v>213</v>
      </c>
      <c r="Y261" s="6">
        <v>18</v>
      </c>
    </row>
    <row r="262" spans="1:25" ht="20.25" customHeight="1" x14ac:dyDescent="0.35">
      <c r="A262" s="195" t="s">
        <v>361</v>
      </c>
      <c r="B262" s="63">
        <v>214</v>
      </c>
      <c r="C262" s="39">
        <f t="shared" si="64"/>
        <v>64340.301100034303</v>
      </c>
      <c r="D262" s="38">
        <f t="shared" si="63"/>
        <v>39.450905228630432</v>
      </c>
      <c r="E262" s="39">
        <f t="shared" si="71"/>
        <v>0</v>
      </c>
      <c r="F262" s="40">
        <f t="shared" si="72"/>
        <v>48031.346786524395</v>
      </c>
      <c r="G262" s="40">
        <f t="shared" si="73"/>
        <v>6003.9183483155493</v>
      </c>
      <c r="H262" s="360">
        <f t="shared" si="67"/>
        <v>10000000.000000015</v>
      </c>
      <c r="I262" s="365"/>
      <c r="J262" s="362">
        <f t="shared" si="61"/>
        <v>64340.301100034303</v>
      </c>
      <c r="K262" s="361"/>
      <c r="L262" s="360">
        <f t="shared" si="65"/>
        <v>20074.173943210702</v>
      </c>
      <c r="M262" s="361"/>
      <c r="N262" s="358">
        <f t="shared" si="62"/>
        <v>10000000</v>
      </c>
      <c r="O262" s="359"/>
      <c r="P262" s="9">
        <f t="shared" si="68"/>
        <v>17</v>
      </c>
      <c r="R262" s="40">
        <f t="shared" si="69"/>
        <v>1630.8954313509912</v>
      </c>
      <c r="S262" s="35">
        <f t="shared" si="66"/>
        <v>253479.60818761602</v>
      </c>
      <c r="T262" s="36">
        <f t="shared" si="70"/>
        <v>64340.301100034303</v>
      </c>
      <c r="V262"/>
      <c r="W262"/>
      <c r="X262" s="9">
        <v>214</v>
      </c>
      <c r="Y262" s="6">
        <v>18</v>
      </c>
    </row>
    <row r="263" spans="1:25" ht="20.25" customHeight="1" x14ac:dyDescent="0.35">
      <c r="A263" s="195" t="s">
        <v>360</v>
      </c>
      <c r="B263" s="60">
        <v>215</v>
      </c>
      <c r="C263" s="34">
        <f t="shared" si="64"/>
        <v>64340.301100034303</v>
      </c>
      <c r="D263" s="38">
        <f t="shared" si="63"/>
        <v>39.704733540738331</v>
      </c>
      <c r="E263" s="34">
        <f t="shared" si="71"/>
        <v>0</v>
      </c>
      <c r="F263" s="15">
        <f t="shared" si="72"/>
        <v>48135.608268128235</v>
      </c>
      <c r="G263" s="15">
        <f t="shared" si="73"/>
        <v>6016.9510335160294</v>
      </c>
      <c r="H263" s="363">
        <f t="shared" si="67"/>
        <v>10000000.000000013</v>
      </c>
      <c r="I263" s="364"/>
      <c r="J263" s="362">
        <f t="shared" si="61"/>
        <v>64340.301100034303</v>
      </c>
      <c r="K263" s="361"/>
      <c r="L263" s="360">
        <f t="shared" si="65"/>
        <v>20074.173943210702</v>
      </c>
      <c r="M263" s="361"/>
      <c r="N263" s="358">
        <f t="shared" si="62"/>
        <v>10000000</v>
      </c>
      <c r="O263" s="359"/>
      <c r="P263" s="9">
        <f t="shared" si="68"/>
        <v>17</v>
      </c>
      <c r="R263" s="40">
        <f t="shared" si="69"/>
        <v>1620.4692831906073</v>
      </c>
      <c r="S263" s="35">
        <f t="shared" si="66"/>
        <v>251859.1389044254</v>
      </c>
      <c r="T263" s="36">
        <f t="shared" si="70"/>
        <v>64340.301100034303</v>
      </c>
      <c r="V263"/>
      <c r="W263"/>
      <c r="X263" s="9">
        <v>215</v>
      </c>
      <c r="Y263" s="6">
        <v>18</v>
      </c>
    </row>
    <row r="264" spans="1:25" ht="20.25" customHeight="1" x14ac:dyDescent="0.35">
      <c r="A264" s="195" t="s">
        <v>361</v>
      </c>
      <c r="B264" s="63">
        <v>216</v>
      </c>
      <c r="C264" s="39">
        <f t="shared" si="64"/>
        <v>64340.301100034303</v>
      </c>
      <c r="D264" s="38">
        <f t="shared" si="63"/>
        <v>39.960194991849107</v>
      </c>
      <c r="E264" s="39">
        <f t="shared" si="71"/>
        <v>0</v>
      </c>
      <c r="F264" s="40">
        <f t="shared" si="72"/>
        <v>48239.203216713635</v>
      </c>
      <c r="G264" s="40">
        <f t="shared" si="73"/>
        <v>6029.9004020892044</v>
      </c>
      <c r="H264" s="360">
        <f t="shared" si="67"/>
        <v>10000000.000000015</v>
      </c>
      <c r="I264" s="365"/>
      <c r="J264" s="362">
        <f t="shared" si="61"/>
        <v>64340.301100034303</v>
      </c>
      <c r="K264" s="361"/>
      <c r="L264" s="360">
        <f t="shared" si="65"/>
        <v>20074.173943210702</v>
      </c>
      <c r="M264" s="361"/>
      <c r="N264" s="358">
        <f t="shared" si="62"/>
        <v>10000000</v>
      </c>
      <c r="O264" s="359"/>
      <c r="P264" s="9">
        <f t="shared" si="68"/>
        <v>17</v>
      </c>
      <c r="R264" s="40">
        <f t="shared" si="69"/>
        <v>1610.1097883320674</v>
      </c>
      <c r="S264" s="35">
        <f t="shared" si="66"/>
        <v>250249.02911609333</v>
      </c>
      <c r="T264" s="36">
        <f t="shared" si="70"/>
        <v>64340.301100034303</v>
      </c>
      <c r="V264"/>
      <c r="W264"/>
      <c r="X264" s="9">
        <v>216</v>
      </c>
      <c r="Y264" s="6">
        <v>18</v>
      </c>
    </row>
    <row r="265" spans="1:25" ht="20.25" customHeight="1" x14ac:dyDescent="0.35">
      <c r="A265" s="195" t="s">
        <v>360</v>
      </c>
      <c r="B265" s="60">
        <v>217</v>
      </c>
      <c r="C265" s="34">
        <f t="shared" si="64"/>
        <v>64340.301100034303</v>
      </c>
      <c r="D265" s="38">
        <f t="shared" si="63"/>
        <v>40.217300089628274</v>
      </c>
      <c r="E265" s="34">
        <f t="shared" si="71"/>
        <v>0</v>
      </c>
      <c r="F265" s="15">
        <f t="shared" si="72"/>
        <v>48342.135893358194</v>
      </c>
      <c r="G265" s="15">
        <f t="shared" si="73"/>
        <v>6042.7669866697743</v>
      </c>
      <c r="H265" s="363">
        <f t="shared" si="67"/>
        <v>10000000.000000015</v>
      </c>
      <c r="I265" s="364"/>
      <c r="J265" s="362">
        <f t="shared" si="61"/>
        <v>64340.301100034303</v>
      </c>
      <c r="K265" s="361"/>
      <c r="L265" s="360">
        <f t="shared" si="65"/>
        <v>20074.173943210702</v>
      </c>
      <c r="M265" s="361"/>
      <c r="N265" s="358">
        <f t="shared" si="62"/>
        <v>10000000</v>
      </c>
      <c r="O265" s="359"/>
      <c r="P265" s="9">
        <f t="shared" si="68"/>
        <v>18</v>
      </c>
      <c r="R265" s="40">
        <f t="shared" si="69"/>
        <v>1599.816520667611</v>
      </c>
      <c r="S265" s="35">
        <f t="shared" si="66"/>
        <v>248649.21259542572</v>
      </c>
      <c r="T265" s="36">
        <f t="shared" si="70"/>
        <v>64340.301100034303</v>
      </c>
      <c r="V265"/>
      <c r="W265"/>
      <c r="X265" s="9">
        <v>217</v>
      </c>
      <c r="Y265" s="6">
        <v>19</v>
      </c>
    </row>
    <row r="266" spans="1:25" ht="20.25" customHeight="1" x14ac:dyDescent="0.35">
      <c r="A266" s="195" t="s">
        <v>361</v>
      </c>
      <c r="B266" s="63">
        <v>218</v>
      </c>
      <c r="C266" s="39">
        <f t="shared" si="64"/>
        <v>64340.301100034303</v>
      </c>
      <c r="D266" s="38">
        <f t="shared" si="63"/>
        <v>40.47605940934799</v>
      </c>
      <c r="E266" s="39">
        <f t="shared" si="71"/>
        <v>0</v>
      </c>
      <c r="F266" s="40">
        <f t="shared" si="72"/>
        <v>48444.410531898895</v>
      </c>
      <c r="G266" s="40">
        <f t="shared" si="73"/>
        <v>6055.5513164873619</v>
      </c>
      <c r="H266" s="360">
        <f t="shared" si="67"/>
        <v>10000000.000000015</v>
      </c>
      <c r="I266" s="365"/>
      <c r="J266" s="362">
        <f t="shared" si="61"/>
        <v>64340.301100034303</v>
      </c>
      <c r="K266" s="361"/>
      <c r="L266" s="360">
        <f t="shared" si="65"/>
        <v>20074.173943210702</v>
      </c>
      <c r="M266" s="361"/>
      <c r="N266" s="358">
        <f t="shared" si="62"/>
        <v>10000000</v>
      </c>
      <c r="O266" s="359"/>
      <c r="P266" s="9">
        <f t="shared" si="68"/>
        <v>18</v>
      </c>
      <c r="R266" s="40">
        <f t="shared" si="69"/>
        <v>1589.5890568135405</v>
      </c>
      <c r="S266" s="35">
        <f t="shared" si="66"/>
        <v>247059.62353861218</v>
      </c>
      <c r="T266" s="36">
        <f t="shared" si="70"/>
        <v>64340.301100034303</v>
      </c>
      <c r="V266"/>
      <c r="W266"/>
      <c r="X266" s="9">
        <v>218</v>
      </c>
      <c r="Y266" s="6">
        <v>19</v>
      </c>
    </row>
    <row r="267" spans="1:25" ht="20.25" customHeight="1" x14ac:dyDescent="0.35">
      <c r="A267" s="195" t="s">
        <v>360</v>
      </c>
      <c r="B267" s="60">
        <v>219</v>
      </c>
      <c r="C267" s="34">
        <f t="shared" si="64"/>
        <v>64340.301100034303</v>
      </c>
      <c r="D267" s="38">
        <f t="shared" si="63"/>
        <v>40.736483594322024</v>
      </c>
      <c r="E267" s="34">
        <f t="shared" si="71"/>
        <v>0</v>
      </c>
      <c r="F267" s="15">
        <f t="shared" si="72"/>
        <v>48546.03133910623</v>
      </c>
      <c r="G267" s="15">
        <f t="shared" si="73"/>
        <v>6068.2539173882788</v>
      </c>
      <c r="H267" s="363">
        <f t="shared" si="67"/>
        <v>10000000.000000017</v>
      </c>
      <c r="I267" s="364"/>
      <c r="J267" s="362">
        <f t="shared" si="61"/>
        <v>64340.301100034303</v>
      </c>
      <c r="K267" s="361"/>
      <c r="L267" s="360">
        <f t="shared" si="65"/>
        <v>20074.173943210702</v>
      </c>
      <c r="M267" s="361"/>
      <c r="N267" s="358">
        <f t="shared" si="62"/>
        <v>10000000</v>
      </c>
      <c r="O267" s="359"/>
      <c r="P267" s="9">
        <f t="shared" si="68"/>
        <v>18</v>
      </c>
      <c r="R267" s="40">
        <f t="shared" si="69"/>
        <v>1579.4269760928078</v>
      </c>
      <c r="S267" s="35">
        <f t="shared" si="66"/>
        <v>245480.19656251938</v>
      </c>
      <c r="T267" s="36">
        <f t="shared" si="70"/>
        <v>64340.301100034303</v>
      </c>
      <c r="V267"/>
      <c r="W267"/>
      <c r="X267" s="9">
        <v>219</v>
      </c>
      <c r="Y267" s="6">
        <v>19</v>
      </c>
    </row>
    <row r="268" spans="1:25" ht="20.25" customHeight="1" x14ac:dyDescent="0.35">
      <c r="A268" s="195" t="s">
        <v>361</v>
      </c>
      <c r="B268" s="63">
        <v>220</v>
      </c>
      <c r="C268" s="39">
        <f t="shared" si="64"/>
        <v>64340.301100034303</v>
      </c>
      <c r="D268" s="38">
        <f t="shared" si="63"/>
        <v>40.998583356343552</v>
      </c>
      <c r="E268" s="39">
        <f t="shared" si="71"/>
        <v>0</v>
      </c>
      <c r="F268" s="40">
        <f t="shared" si="72"/>
        <v>48647.00249485721</v>
      </c>
      <c r="G268" s="40">
        <f t="shared" si="73"/>
        <v>6080.8753118571512</v>
      </c>
      <c r="H268" s="360">
        <f t="shared" si="67"/>
        <v>10000000.000000017</v>
      </c>
      <c r="I268" s="365"/>
      <c r="J268" s="362">
        <f t="shared" si="61"/>
        <v>64340.301100034303</v>
      </c>
      <c r="K268" s="361"/>
      <c r="L268" s="360">
        <f t="shared" si="65"/>
        <v>20074.173943210702</v>
      </c>
      <c r="M268" s="361"/>
      <c r="N268" s="358">
        <f t="shared" si="62"/>
        <v>10000000</v>
      </c>
      <c r="O268" s="359"/>
      <c r="P268" s="9">
        <f t="shared" si="68"/>
        <v>18</v>
      </c>
      <c r="R268" s="40">
        <f t="shared" si="69"/>
        <v>1569.3298605177092</v>
      </c>
      <c r="S268" s="35">
        <f t="shared" si="66"/>
        <v>243910.86670200169</v>
      </c>
      <c r="T268" s="36">
        <f t="shared" si="70"/>
        <v>64340.301100034303</v>
      </c>
      <c r="V268"/>
      <c r="W268"/>
      <c r="X268" s="9">
        <v>220</v>
      </c>
      <c r="Y268" s="6">
        <v>19</v>
      </c>
    </row>
    <row r="269" spans="1:25" ht="20.25" customHeight="1" x14ac:dyDescent="0.35">
      <c r="A269" s="195" t="s">
        <v>360</v>
      </c>
      <c r="B269" s="60">
        <v>221</v>
      </c>
      <c r="C269" s="34">
        <f t="shared" si="64"/>
        <v>64340.301100034303</v>
      </c>
      <c r="D269" s="38">
        <f t="shared" si="63"/>
        <v>41.262369476125755</v>
      </c>
      <c r="E269" s="34">
        <f t="shared" si="71"/>
        <v>0</v>
      </c>
      <c r="F269" s="15">
        <f t="shared" si="72"/>
        <v>48747.328152307353</v>
      </c>
      <c r="G269" s="15">
        <f t="shared" si="73"/>
        <v>6093.4160190384191</v>
      </c>
      <c r="H269" s="363">
        <f t="shared" si="67"/>
        <v>10000000.000000019</v>
      </c>
      <c r="I269" s="364"/>
      <c r="J269" s="362">
        <f t="shared" si="61"/>
        <v>64340.301100034303</v>
      </c>
      <c r="K269" s="361"/>
      <c r="L269" s="360">
        <f t="shared" si="65"/>
        <v>20074.173943210702</v>
      </c>
      <c r="M269" s="361"/>
      <c r="N269" s="358">
        <f t="shared" si="62"/>
        <v>10000000</v>
      </c>
      <c r="O269" s="359"/>
      <c r="P269" s="9">
        <f t="shared" si="68"/>
        <v>18</v>
      </c>
      <c r="R269" s="40">
        <f t="shared" si="69"/>
        <v>1559.2972947726946</v>
      </c>
      <c r="S269" s="35">
        <f t="shared" si="66"/>
        <v>242351.56940722899</v>
      </c>
      <c r="T269" s="36">
        <f t="shared" si="70"/>
        <v>64340.301100034303</v>
      </c>
      <c r="V269"/>
      <c r="W269"/>
      <c r="X269" s="9">
        <v>221</v>
      </c>
      <c r="Y269" s="6">
        <v>19</v>
      </c>
    </row>
    <row r="270" spans="1:25" ht="20.25" customHeight="1" x14ac:dyDescent="0.35">
      <c r="A270" s="195" t="s">
        <v>361</v>
      </c>
      <c r="B270" s="63">
        <v>222</v>
      </c>
      <c r="C270" s="39">
        <f t="shared" si="64"/>
        <v>64340.301100034303</v>
      </c>
      <c r="D270" s="38">
        <f t="shared" si="63"/>
        <v>41.527852803745233</v>
      </c>
      <c r="E270" s="39">
        <f t="shared" si="71"/>
        <v>0</v>
      </c>
      <c r="F270" s="40">
        <f t="shared" si="72"/>
        <v>48847.012438061465</v>
      </c>
      <c r="G270" s="40">
        <f t="shared" si="73"/>
        <v>6105.8765547576832</v>
      </c>
      <c r="H270" s="360">
        <f t="shared" si="67"/>
        <v>10000000.000000017</v>
      </c>
      <c r="I270" s="365"/>
      <c r="J270" s="362">
        <f t="shared" si="61"/>
        <v>64340.301100034303</v>
      </c>
      <c r="K270" s="361"/>
      <c r="L270" s="360">
        <f t="shared" si="65"/>
        <v>20074.173943210702</v>
      </c>
      <c r="M270" s="361"/>
      <c r="N270" s="358">
        <f t="shared" si="62"/>
        <v>10000000</v>
      </c>
      <c r="O270" s="359"/>
      <c r="P270" s="9">
        <f t="shared" si="68"/>
        <v>18</v>
      </c>
      <c r="R270" s="40">
        <f t="shared" si="69"/>
        <v>1549.328866197284</v>
      </c>
      <c r="S270" s="35">
        <f t="shared" si="66"/>
        <v>240802.2405410317</v>
      </c>
      <c r="T270" s="36">
        <f t="shared" si="70"/>
        <v>64340.301100034303</v>
      </c>
      <c r="V270"/>
      <c r="W270"/>
      <c r="X270" s="9">
        <v>222</v>
      </c>
      <c r="Y270" s="6">
        <v>19</v>
      </c>
    </row>
    <row r="271" spans="1:25" ht="20.25" customHeight="1" x14ac:dyDescent="0.35">
      <c r="A271" s="195" t="s">
        <v>360</v>
      </c>
      <c r="B271" s="60">
        <v>223</v>
      </c>
      <c r="C271" s="34">
        <f t="shared" si="64"/>
        <v>64340.301100034303</v>
      </c>
      <c r="D271" s="38">
        <f t="shared" si="63"/>
        <v>41.795044259088321</v>
      </c>
      <c r="E271" s="34">
        <f t="shared" si="71"/>
        <v>0</v>
      </c>
      <c r="F271" s="15">
        <f t="shared" si="72"/>
        <v>48946.059452343383</v>
      </c>
      <c r="G271" s="15">
        <f t="shared" si="73"/>
        <v>6118.2574315429229</v>
      </c>
      <c r="H271" s="363">
        <f t="shared" si="67"/>
        <v>10000000.000000017</v>
      </c>
      <c r="I271" s="364"/>
      <c r="J271" s="362">
        <f t="shared" si="61"/>
        <v>64340.301100034303</v>
      </c>
      <c r="K271" s="361"/>
      <c r="L271" s="360">
        <f t="shared" si="65"/>
        <v>20074.173943210702</v>
      </c>
      <c r="M271" s="361"/>
      <c r="N271" s="358">
        <f t="shared" si="62"/>
        <v>10000000</v>
      </c>
      <c r="O271" s="359"/>
      <c r="P271" s="9">
        <f t="shared" si="68"/>
        <v>18</v>
      </c>
      <c r="R271" s="40">
        <f t="shared" si="69"/>
        <v>1539.4241647690928</v>
      </c>
      <c r="S271" s="35">
        <f t="shared" si="66"/>
        <v>239262.81637626261</v>
      </c>
      <c r="T271" s="36">
        <f t="shared" si="70"/>
        <v>64340.301100034303</v>
      </c>
      <c r="V271"/>
      <c r="W271"/>
      <c r="X271" s="9">
        <v>223</v>
      </c>
      <c r="Y271" s="6">
        <v>19</v>
      </c>
    </row>
    <row r="272" spans="1:25" ht="20.25" customHeight="1" x14ac:dyDescent="0.35">
      <c r="A272" s="195" t="s">
        <v>361</v>
      </c>
      <c r="B272" s="63">
        <v>224</v>
      </c>
      <c r="C272" s="39">
        <f t="shared" si="64"/>
        <v>64340.301100034303</v>
      </c>
      <c r="D272" s="38">
        <f t="shared" si="63"/>
        <v>42.063954832300219</v>
      </c>
      <c r="E272" s="39">
        <f t="shared" si="71"/>
        <v>0</v>
      </c>
      <c r="F272" s="40">
        <f t="shared" si="72"/>
        <v>49044.47326916462</v>
      </c>
      <c r="G272" s="40">
        <f t="shared" si="73"/>
        <v>6130.5591586455776</v>
      </c>
      <c r="H272" s="360">
        <f t="shared" si="67"/>
        <v>10000000.000000017</v>
      </c>
      <c r="I272" s="365"/>
      <c r="J272" s="362">
        <f t="shared" si="61"/>
        <v>64340.301100034303</v>
      </c>
      <c r="K272" s="361"/>
      <c r="L272" s="360">
        <f t="shared" si="65"/>
        <v>20074.173943210702</v>
      </c>
      <c r="M272" s="361"/>
      <c r="N272" s="358">
        <f t="shared" si="62"/>
        <v>10000000</v>
      </c>
      <c r="O272" s="359"/>
      <c r="P272" s="9">
        <f t="shared" si="68"/>
        <v>18</v>
      </c>
      <c r="R272" s="40">
        <f t="shared" si="69"/>
        <v>1529.5827830869684</v>
      </c>
      <c r="S272" s="35">
        <f t="shared" si="66"/>
        <v>237733.23359317562</v>
      </c>
      <c r="T272" s="36">
        <f t="shared" si="70"/>
        <v>64340.301100034303</v>
      </c>
      <c r="V272"/>
      <c r="W272"/>
      <c r="X272" s="9">
        <v>224</v>
      </c>
      <c r="Y272" s="6">
        <v>19</v>
      </c>
    </row>
    <row r="273" spans="1:25" ht="20.25" customHeight="1" x14ac:dyDescent="0.35">
      <c r="A273" s="195" t="s">
        <v>360</v>
      </c>
      <c r="B273" s="60">
        <v>225</v>
      </c>
      <c r="C273" s="34">
        <f t="shared" si="64"/>
        <v>64340.301100034303</v>
      </c>
      <c r="D273" s="38">
        <f t="shared" si="63"/>
        <v>42.334595584237064</v>
      </c>
      <c r="E273" s="34">
        <f t="shared" si="71"/>
        <v>0</v>
      </c>
      <c r="F273" s="15">
        <f t="shared" si="72"/>
        <v>49142.25793649198</v>
      </c>
      <c r="G273" s="15">
        <f t="shared" si="73"/>
        <v>6142.7822420614975</v>
      </c>
      <c r="H273" s="363">
        <f t="shared" si="67"/>
        <v>10000000.000000017</v>
      </c>
      <c r="I273" s="364"/>
      <c r="J273" s="362">
        <f t="shared" ref="J273:J336" si="74">$H$5*((1+$H$7)^(1/12)-1)</f>
        <v>64340.301100034303</v>
      </c>
      <c r="K273" s="361"/>
      <c r="L273" s="360">
        <f t="shared" si="65"/>
        <v>20074.173943210702</v>
      </c>
      <c r="M273" s="361"/>
      <c r="N273" s="358">
        <f t="shared" ref="N273:N336" si="75">$H$5</f>
        <v>10000000</v>
      </c>
      <c r="O273" s="359"/>
      <c r="P273" s="9">
        <f t="shared" si="68"/>
        <v>18</v>
      </c>
      <c r="R273" s="40">
        <f t="shared" si="69"/>
        <v>1519.804316354232</v>
      </c>
      <c r="S273" s="35">
        <f t="shared" si="66"/>
        <v>236213.42927682138</v>
      </c>
      <c r="T273" s="36">
        <f t="shared" si="70"/>
        <v>64340.301100034303</v>
      </c>
      <c r="V273"/>
      <c r="W273"/>
      <c r="X273" s="9">
        <v>225</v>
      </c>
      <c r="Y273" s="6">
        <v>19</v>
      </c>
    </row>
    <row r="274" spans="1:25" ht="20.25" customHeight="1" x14ac:dyDescent="0.35">
      <c r="A274" s="195" t="s">
        <v>361</v>
      </c>
      <c r="B274" s="63">
        <v>226</v>
      </c>
      <c r="C274" s="39">
        <f t="shared" si="64"/>
        <v>64340.301100034303</v>
      </c>
      <c r="D274" s="38">
        <f t="shared" ref="D274:D337" si="76">D273*(1+(1+$H$6)^(1/12)-1)</f>
        <v>42.606977646920861</v>
      </c>
      <c r="E274" s="39">
        <f t="shared" si="71"/>
        <v>0</v>
      </c>
      <c r="F274" s="40">
        <f t="shared" si="72"/>
        <v>49239.417476414012</v>
      </c>
      <c r="G274" s="40">
        <f t="shared" si="73"/>
        <v>6154.9271845517515</v>
      </c>
      <c r="H274" s="360">
        <f t="shared" si="67"/>
        <v>10000000.000000015</v>
      </c>
      <c r="I274" s="365"/>
      <c r="J274" s="362">
        <f t="shared" si="74"/>
        <v>64340.301100034303</v>
      </c>
      <c r="K274" s="361"/>
      <c r="L274" s="360">
        <f t="shared" si="65"/>
        <v>20074.173943210702</v>
      </c>
      <c r="M274" s="361"/>
      <c r="N274" s="358">
        <f t="shared" si="75"/>
        <v>10000000</v>
      </c>
      <c r="O274" s="359"/>
      <c r="P274" s="9">
        <f t="shared" si="68"/>
        <v>18</v>
      </c>
      <c r="R274" s="40">
        <f t="shared" si="69"/>
        <v>1510.0883623620291</v>
      </c>
      <c r="S274" s="35">
        <f t="shared" si="66"/>
        <v>234703.34091445935</v>
      </c>
      <c r="T274" s="36">
        <f t="shared" si="70"/>
        <v>64340.301100034303</v>
      </c>
      <c r="V274"/>
      <c r="W274"/>
      <c r="X274" s="9">
        <v>226</v>
      </c>
      <c r="Y274" s="6">
        <v>19</v>
      </c>
    </row>
    <row r="275" spans="1:25" ht="20.25" customHeight="1" x14ac:dyDescent="0.35">
      <c r="A275" s="195" t="s">
        <v>360</v>
      </c>
      <c r="B275" s="60">
        <v>227</v>
      </c>
      <c r="C275" s="34">
        <f t="shared" si="64"/>
        <v>64340.301100034303</v>
      </c>
      <c r="D275" s="38">
        <f t="shared" si="76"/>
        <v>42.881112223997391</v>
      </c>
      <c r="E275" s="34">
        <f t="shared" si="71"/>
        <v>0</v>
      </c>
      <c r="F275" s="15">
        <f t="shared" si="72"/>
        <v>49335.955885306452</v>
      </c>
      <c r="G275" s="15">
        <f t="shared" si="73"/>
        <v>6166.9944856633065</v>
      </c>
      <c r="H275" s="363">
        <f t="shared" si="67"/>
        <v>10000000.000000015</v>
      </c>
      <c r="I275" s="364"/>
      <c r="J275" s="362">
        <f t="shared" si="74"/>
        <v>64340.301100034303</v>
      </c>
      <c r="K275" s="361"/>
      <c r="L275" s="360">
        <f t="shared" si="65"/>
        <v>20074.173943210702</v>
      </c>
      <c r="M275" s="361"/>
      <c r="N275" s="358">
        <f t="shared" si="75"/>
        <v>10000000</v>
      </c>
      <c r="O275" s="359"/>
      <c r="P275" s="9">
        <f t="shared" si="68"/>
        <v>18</v>
      </c>
      <c r="R275" s="40">
        <f t="shared" si="69"/>
        <v>1500.4345214727846</v>
      </c>
      <c r="S275" s="35">
        <f t="shared" si="66"/>
        <v>233202.90639298657</v>
      </c>
      <c r="T275" s="36">
        <f t="shared" si="70"/>
        <v>64340.301100034303</v>
      </c>
      <c r="V275"/>
      <c r="W275"/>
      <c r="X275" s="9">
        <v>227</v>
      </c>
      <c r="Y275" s="6">
        <v>19</v>
      </c>
    </row>
    <row r="276" spans="1:25" ht="20.25" customHeight="1" x14ac:dyDescent="0.35">
      <c r="A276" s="195" t="s">
        <v>361</v>
      </c>
      <c r="B276" s="63">
        <v>228</v>
      </c>
      <c r="C276" s="39">
        <f t="shared" si="64"/>
        <v>64340.301100034303</v>
      </c>
      <c r="D276" s="38">
        <f t="shared" si="76"/>
        <v>43.157010591197029</v>
      </c>
      <c r="E276" s="39">
        <f t="shared" si="71"/>
        <v>0</v>
      </c>
      <c r="F276" s="40">
        <f t="shared" si="72"/>
        <v>49431.877133996641</v>
      </c>
      <c r="G276" s="40">
        <f t="shared" si="73"/>
        <v>6178.9846417495801</v>
      </c>
      <c r="H276" s="360">
        <f t="shared" si="67"/>
        <v>10000000.000000017</v>
      </c>
      <c r="I276" s="365"/>
      <c r="J276" s="362">
        <f t="shared" si="74"/>
        <v>64340.301100034303</v>
      </c>
      <c r="K276" s="361"/>
      <c r="L276" s="360">
        <f t="shared" si="65"/>
        <v>20074.173943210702</v>
      </c>
      <c r="M276" s="361"/>
      <c r="N276" s="358">
        <f t="shared" si="75"/>
        <v>10000000</v>
      </c>
      <c r="O276" s="359"/>
      <c r="P276" s="9">
        <f t="shared" si="68"/>
        <v>18</v>
      </c>
      <c r="R276" s="40">
        <f t="shared" si="69"/>
        <v>1490.8423966037662</v>
      </c>
      <c r="S276" s="35">
        <f t="shared" si="66"/>
        <v>231712.06399638281</v>
      </c>
      <c r="T276" s="36">
        <f t="shared" si="70"/>
        <v>64340.301100034303</v>
      </c>
      <c r="V276"/>
      <c r="W276"/>
      <c r="X276" s="9">
        <v>228</v>
      </c>
      <c r="Y276" s="6">
        <v>19</v>
      </c>
    </row>
    <row r="277" spans="1:25" ht="20.25" customHeight="1" x14ac:dyDescent="0.35">
      <c r="A277" s="195" t="s">
        <v>360</v>
      </c>
      <c r="B277" s="60">
        <v>229</v>
      </c>
      <c r="C277" s="34">
        <f t="shared" si="64"/>
        <v>64340.301100034303</v>
      </c>
      <c r="D277" s="38">
        <f t="shared" si="76"/>
        <v>43.434684096798527</v>
      </c>
      <c r="E277" s="34">
        <f t="shared" si="71"/>
        <v>0</v>
      </c>
      <c r="F277" s="15">
        <f t="shared" si="72"/>
        <v>49527.185167926793</v>
      </c>
      <c r="G277" s="15">
        <f t="shared" si="73"/>
        <v>6190.8981459908491</v>
      </c>
      <c r="H277" s="363">
        <f t="shared" si="67"/>
        <v>10000000.000000017</v>
      </c>
      <c r="I277" s="364"/>
      <c r="J277" s="362">
        <f t="shared" si="74"/>
        <v>64340.301100034303</v>
      </c>
      <c r="K277" s="361"/>
      <c r="L277" s="360">
        <f t="shared" si="65"/>
        <v>20074.173943210702</v>
      </c>
      <c r="M277" s="361"/>
      <c r="N277" s="358">
        <f t="shared" si="75"/>
        <v>10000000</v>
      </c>
      <c r="O277" s="359"/>
      <c r="P277" s="9">
        <f t="shared" si="68"/>
        <v>19</v>
      </c>
      <c r="R277" s="40">
        <f t="shared" si="69"/>
        <v>1481.3115932107512</v>
      </c>
      <c r="S277" s="35">
        <f t="shared" si="66"/>
        <v>230230.75240317205</v>
      </c>
      <c r="T277" s="36">
        <f t="shared" si="70"/>
        <v>64340.301100034303</v>
      </c>
      <c r="V277"/>
      <c r="W277"/>
      <c r="X277" s="9">
        <v>229</v>
      </c>
      <c r="Y277" s="6">
        <v>20</v>
      </c>
    </row>
    <row r="278" spans="1:25" ht="20.25" customHeight="1" x14ac:dyDescent="0.35">
      <c r="A278" s="195" t="s">
        <v>361</v>
      </c>
      <c r="B278" s="63">
        <v>230</v>
      </c>
      <c r="C278" s="39">
        <f t="shared" si="64"/>
        <v>64340.301100034303</v>
      </c>
      <c r="D278" s="38">
        <f t="shared" si="76"/>
        <v>43.714144162095813</v>
      </c>
      <c r="E278" s="39">
        <f t="shared" si="71"/>
        <v>0</v>
      </c>
      <c r="F278" s="40">
        <f t="shared" si="72"/>
        <v>49621.883907316333</v>
      </c>
      <c r="G278" s="40">
        <f t="shared" si="73"/>
        <v>6202.7354884145416</v>
      </c>
      <c r="H278" s="360">
        <f t="shared" si="67"/>
        <v>10000000.000000017</v>
      </c>
      <c r="I278" s="365"/>
      <c r="J278" s="362">
        <f t="shared" si="74"/>
        <v>64340.301100034303</v>
      </c>
      <c r="K278" s="361"/>
      <c r="L278" s="360">
        <f t="shared" si="65"/>
        <v>20074.173943210702</v>
      </c>
      <c r="M278" s="361"/>
      <c r="N278" s="358">
        <f t="shared" si="75"/>
        <v>10000000</v>
      </c>
      <c r="O278" s="359"/>
      <c r="P278" s="9">
        <f t="shared" si="68"/>
        <v>19</v>
      </c>
      <c r="R278" s="40">
        <f t="shared" si="69"/>
        <v>1471.8417192717973</v>
      </c>
      <c r="S278" s="35">
        <f t="shared" si="66"/>
        <v>228758.91068390026</v>
      </c>
      <c r="T278" s="36">
        <f t="shared" si="70"/>
        <v>64340.301100034303</v>
      </c>
      <c r="V278"/>
      <c r="W278"/>
      <c r="X278" s="9">
        <v>230</v>
      </c>
      <c r="Y278" s="6">
        <v>20</v>
      </c>
    </row>
    <row r="279" spans="1:25" ht="20.25" customHeight="1" x14ac:dyDescent="0.35">
      <c r="A279" s="195" t="s">
        <v>360</v>
      </c>
      <c r="B279" s="60">
        <v>231</v>
      </c>
      <c r="C279" s="34">
        <f t="shared" si="64"/>
        <v>64340.301100034303</v>
      </c>
      <c r="D279" s="38">
        <f t="shared" si="76"/>
        <v>43.995402281867769</v>
      </c>
      <c r="E279" s="34">
        <f t="shared" si="71"/>
        <v>0</v>
      </c>
      <c r="F279" s="15">
        <f t="shared" si="72"/>
        <v>49715.977247323121</v>
      </c>
      <c r="G279" s="15">
        <f t="shared" si="73"/>
        <v>6214.4971559153901</v>
      </c>
      <c r="H279" s="363">
        <f t="shared" si="67"/>
        <v>10000000.000000017</v>
      </c>
      <c r="I279" s="364"/>
      <c r="J279" s="362">
        <f t="shared" si="74"/>
        <v>64340.301100034303</v>
      </c>
      <c r="K279" s="361"/>
      <c r="L279" s="360">
        <f t="shared" si="65"/>
        <v>20074.173943210702</v>
      </c>
      <c r="M279" s="361"/>
      <c r="N279" s="358">
        <f t="shared" si="75"/>
        <v>10000000</v>
      </c>
      <c r="O279" s="359"/>
      <c r="P279" s="9">
        <f t="shared" si="68"/>
        <v>19</v>
      </c>
      <c r="R279" s="40">
        <f t="shared" si="69"/>
        <v>1462.4323852711188</v>
      </c>
      <c r="S279" s="35">
        <f t="shared" si="66"/>
        <v>227296.47829862914</v>
      </c>
      <c r="T279" s="36">
        <f t="shared" si="70"/>
        <v>64340.301100034303</v>
      </c>
      <c r="V279"/>
      <c r="W279"/>
      <c r="X279" s="9">
        <v>231</v>
      </c>
      <c r="Y279" s="6">
        <v>20</v>
      </c>
    </row>
    <row r="280" spans="1:25" ht="20.25" customHeight="1" x14ac:dyDescent="0.35">
      <c r="A280" s="195" t="s">
        <v>361</v>
      </c>
      <c r="B280" s="63">
        <v>232</v>
      </c>
      <c r="C280" s="39">
        <f t="shared" si="64"/>
        <v>64340.301100034303</v>
      </c>
      <c r="D280" s="38">
        <f t="shared" si="76"/>
        <v>44.278470024851018</v>
      </c>
      <c r="E280" s="39">
        <f t="shared" si="71"/>
        <v>0</v>
      </c>
      <c r="F280" s="40">
        <f t="shared" si="72"/>
        <v>49809.469058203656</v>
      </c>
      <c r="G280" s="40">
        <f t="shared" si="73"/>
        <v>6226.1836322754571</v>
      </c>
      <c r="H280" s="360">
        <f t="shared" si="67"/>
        <v>10000000.000000017</v>
      </c>
      <c r="I280" s="365"/>
      <c r="J280" s="362">
        <f t="shared" si="74"/>
        <v>64340.301100034303</v>
      </c>
      <c r="K280" s="361"/>
      <c r="L280" s="360">
        <f t="shared" si="65"/>
        <v>20074.173943210702</v>
      </c>
      <c r="M280" s="361"/>
      <c r="N280" s="358">
        <f t="shared" si="75"/>
        <v>10000000</v>
      </c>
      <c r="O280" s="359"/>
      <c r="P280" s="9">
        <f t="shared" si="68"/>
        <v>19</v>
      </c>
      <c r="R280" s="40">
        <f t="shared" si="69"/>
        <v>1453.0832041830647</v>
      </c>
      <c r="S280" s="35">
        <f t="shared" si="66"/>
        <v>225843.39509444608</v>
      </c>
      <c r="T280" s="36">
        <f t="shared" si="70"/>
        <v>64340.301100034303</v>
      </c>
      <c r="V280"/>
      <c r="W280"/>
      <c r="X280" s="9">
        <v>232</v>
      </c>
      <c r="Y280" s="6">
        <v>20</v>
      </c>
    </row>
    <row r="281" spans="1:25" ht="20.25" customHeight="1" x14ac:dyDescent="0.35">
      <c r="A281" s="195" t="s">
        <v>360</v>
      </c>
      <c r="B281" s="60">
        <v>233</v>
      </c>
      <c r="C281" s="34">
        <f t="shared" si="64"/>
        <v>64340.301100034303</v>
      </c>
      <c r="D281" s="38">
        <f t="shared" si="76"/>
        <v>44.563359034215793</v>
      </c>
      <c r="E281" s="34">
        <f t="shared" si="71"/>
        <v>0</v>
      </c>
      <c r="F281" s="15">
        <f t="shared" si="72"/>
        <v>49902.363185472313</v>
      </c>
      <c r="G281" s="15">
        <f t="shared" si="73"/>
        <v>6237.7953981840392</v>
      </c>
      <c r="H281" s="363">
        <f t="shared" si="67"/>
        <v>10000000.000000017</v>
      </c>
      <c r="I281" s="364"/>
      <c r="J281" s="362">
        <f t="shared" si="74"/>
        <v>64340.301100034303</v>
      </c>
      <c r="K281" s="361"/>
      <c r="L281" s="360">
        <f t="shared" si="65"/>
        <v>20074.173943210702</v>
      </c>
      <c r="M281" s="361"/>
      <c r="N281" s="358">
        <f t="shared" si="75"/>
        <v>10000000</v>
      </c>
      <c r="O281" s="359"/>
      <c r="P281" s="9">
        <f t="shared" si="68"/>
        <v>19</v>
      </c>
      <c r="R281" s="40">
        <f t="shared" si="69"/>
        <v>1443.7937914561996</v>
      </c>
      <c r="S281" s="35">
        <f t="shared" si="66"/>
        <v>224399.60130298987</v>
      </c>
      <c r="T281" s="36">
        <f t="shared" si="70"/>
        <v>64340.301100034303</v>
      </c>
      <c r="V281"/>
      <c r="W281"/>
      <c r="X281" s="9">
        <v>233</v>
      </c>
      <c r="Y281" s="6">
        <v>20</v>
      </c>
    </row>
    <row r="282" spans="1:25" ht="20.25" customHeight="1" x14ac:dyDescent="0.35">
      <c r="A282" s="195" t="s">
        <v>361</v>
      </c>
      <c r="B282" s="63">
        <v>234</v>
      </c>
      <c r="C282" s="39">
        <f t="shared" si="64"/>
        <v>64340.301100034303</v>
      </c>
      <c r="D282" s="38">
        <f t="shared" si="76"/>
        <v>44.850081028044833</v>
      </c>
      <c r="E282" s="39">
        <f t="shared" si="71"/>
        <v>0</v>
      </c>
      <c r="F282" s="40">
        <f t="shared" si="72"/>
        <v>49994.663450059445</v>
      </c>
      <c r="G282" s="40">
        <f t="shared" si="73"/>
        <v>6249.3329312574306</v>
      </c>
      <c r="H282" s="360">
        <f t="shared" si="67"/>
        <v>10000000.000000017</v>
      </c>
      <c r="I282" s="365"/>
      <c r="J282" s="362">
        <f t="shared" si="74"/>
        <v>64340.301100034303</v>
      </c>
      <c r="K282" s="361"/>
      <c r="L282" s="360">
        <f t="shared" si="65"/>
        <v>20074.173943210702</v>
      </c>
      <c r="M282" s="361"/>
      <c r="N282" s="358">
        <f t="shared" si="75"/>
        <v>10000000</v>
      </c>
      <c r="O282" s="359"/>
      <c r="P282" s="9">
        <f t="shared" si="68"/>
        <v>19</v>
      </c>
      <c r="R282" s="40">
        <f t="shared" si="69"/>
        <v>1434.5637649974858</v>
      </c>
      <c r="S282" s="35">
        <f t="shared" si="66"/>
        <v>222965.03753799238</v>
      </c>
      <c r="T282" s="36">
        <f t="shared" si="70"/>
        <v>64340.301100034303</v>
      </c>
      <c r="V282"/>
      <c r="W282"/>
      <c r="X282" s="9">
        <v>234</v>
      </c>
      <c r="Y282" s="6">
        <v>20</v>
      </c>
    </row>
    <row r="283" spans="1:25" ht="20.25" customHeight="1" x14ac:dyDescent="0.35">
      <c r="A283" s="195" t="s">
        <v>360</v>
      </c>
      <c r="B283" s="60">
        <v>235</v>
      </c>
      <c r="C283" s="34">
        <f t="shared" si="64"/>
        <v>64340.301100034303</v>
      </c>
      <c r="D283" s="38">
        <f t="shared" si="76"/>
        <v>45.138647799815367</v>
      </c>
      <c r="E283" s="34">
        <f t="shared" si="71"/>
        <v>0</v>
      </c>
      <c r="F283" s="15">
        <f t="shared" si="72"/>
        <v>50086.373648468623</v>
      </c>
      <c r="G283" s="15">
        <f t="shared" si="73"/>
        <v>6260.7967060585779</v>
      </c>
      <c r="H283" s="363">
        <f t="shared" si="67"/>
        <v>10000000.000000017</v>
      </c>
      <c r="I283" s="364"/>
      <c r="J283" s="362">
        <f t="shared" si="74"/>
        <v>64340.301100034303</v>
      </c>
      <c r="K283" s="361"/>
      <c r="L283" s="360">
        <f t="shared" si="65"/>
        <v>20074.173943210702</v>
      </c>
      <c r="M283" s="361"/>
      <c r="N283" s="358">
        <f t="shared" si="75"/>
        <v>10000000</v>
      </c>
      <c r="O283" s="359"/>
      <c r="P283" s="9">
        <f t="shared" si="68"/>
        <v>19</v>
      </c>
      <c r="R283" s="40">
        <f t="shared" si="69"/>
        <v>1425.392745156568</v>
      </c>
      <c r="S283" s="35">
        <f t="shared" si="66"/>
        <v>221539.64479283581</v>
      </c>
      <c r="T283" s="36">
        <f t="shared" si="70"/>
        <v>64340.301100034303</v>
      </c>
      <c r="V283"/>
      <c r="W283"/>
      <c r="X283" s="9">
        <v>235</v>
      </c>
      <c r="Y283" s="6">
        <v>20</v>
      </c>
    </row>
    <row r="284" spans="1:25" ht="20.25" customHeight="1" x14ac:dyDescent="0.35">
      <c r="A284" s="195" t="s">
        <v>361</v>
      </c>
      <c r="B284" s="63">
        <v>236</v>
      </c>
      <c r="C284" s="39">
        <f t="shared" si="64"/>
        <v>64340.301100034303</v>
      </c>
      <c r="D284" s="38">
        <f t="shared" si="76"/>
        <v>45.429071218884218</v>
      </c>
      <c r="E284" s="39">
        <f t="shared" si="71"/>
        <v>0</v>
      </c>
      <c r="F284" s="40">
        <f t="shared" si="72"/>
        <v>50177.497552932735</v>
      </c>
      <c r="G284" s="40">
        <f t="shared" si="73"/>
        <v>6272.1871941165919</v>
      </c>
      <c r="H284" s="360">
        <f t="shared" si="67"/>
        <v>10000000.000000017</v>
      </c>
      <c r="I284" s="365"/>
      <c r="J284" s="362">
        <f t="shared" si="74"/>
        <v>64340.301100034303</v>
      </c>
      <c r="K284" s="361"/>
      <c r="L284" s="360">
        <f t="shared" si="65"/>
        <v>20074.173943210702</v>
      </c>
      <c r="M284" s="361"/>
      <c r="N284" s="358">
        <f t="shared" si="75"/>
        <v>10000000</v>
      </c>
      <c r="O284" s="359"/>
      <c r="P284" s="9">
        <f t="shared" si="68"/>
        <v>19</v>
      </c>
      <c r="R284" s="40">
        <f t="shared" si="69"/>
        <v>1416.2803547101564</v>
      </c>
      <c r="S284" s="35">
        <f t="shared" si="66"/>
        <v>220123.36443812566</v>
      </c>
      <c r="T284" s="36">
        <f t="shared" si="70"/>
        <v>64340.301100034303</v>
      </c>
      <c r="V284"/>
      <c r="W284"/>
      <c r="X284" s="9">
        <v>236</v>
      </c>
      <c r="Y284" s="6">
        <v>20</v>
      </c>
    </row>
    <row r="285" spans="1:25" ht="20.25" customHeight="1" x14ac:dyDescent="0.35">
      <c r="A285" s="195" t="s">
        <v>360</v>
      </c>
      <c r="B285" s="60">
        <v>237</v>
      </c>
      <c r="C285" s="34">
        <f t="shared" si="64"/>
        <v>64340.301100034303</v>
      </c>
      <c r="D285" s="38">
        <f t="shared" si="76"/>
        <v>45.72136323097601</v>
      </c>
      <c r="E285" s="34">
        <f t="shared" si="71"/>
        <v>0</v>
      </c>
      <c r="F285" s="15">
        <f t="shared" si="72"/>
        <v>50268.038911569187</v>
      </c>
      <c r="G285" s="15">
        <f t="shared" si="73"/>
        <v>6283.5048639461484</v>
      </c>
      <c r="H285" s="363">
        <f t="shared" si="67"/>
        <v>10000000.000000017</v>
      </c>
      <c r="I285" s="364"/>
      <c r="J285" s="362">
        <f t="shared" si="74"/>
        <v>64340.301100034303</v>
      </c>
      <c r="K285" s="361"/>
      <c r="L285" s="360">
        <f t="shared" si="65"/>
        <v>20074.173943210702</v>
      </c>
      <c r="M285" s="361"/>
      <c r="N285" s="358">
        <f t="shared" si="75"/>
        <v>10000000</v>
      </c>
      <c r="O285" s="359"/>
      <c r="P285" s="9">
        <f t="shared" si="68"/>
        <v>19</v>
      </c>
      <c r="R285" s="40">
        <f t="shared" si="69"/>
        <v>1407.2262188465118</v>
      </c>
      <c r="S285" s="35">
        <f t="shared" si="66"/>
        <v>218716.13821927915</v>
      </c>
      <c r="T285" s="36">
        <f t="shared" si="70"/>
        <v>64340.301100034303</v>
      </c>
      <c r="V285"/>
      <c r="W285"/>
      <c r="X285" s="9">
        <v>237</v>
      </c>
      <c r="Y285" s="6">
        <v>20</v>
      </c>
    </row>
    <row r="286" spans="1:25" ht="20.25" customHeight="1" x14ac:dyDescent="0.35">
      <c r="A286" s="195" t="s">
        <v>361</v>
      </c>
      <c r="B286" s="63">
        <v>238</v>
      </c>
      <c r="C286" s="39">
        <f t="shared" si="64"/>
        <v>64340.301100034303</v>
      </c>
      <c r="D286" s="38">
        <f t="shared" si="76"/>
        <v>46.015535858674511</v>
      </c>
      <c r="E286" s="39">
        <f t="shared" si="71"/>
        <v>0</v>
      </c>
      <c r="F286" s="40">
        <f t="shared" si="72"/>
        <v>50358.001448534029</v>
      </c>
      <c r="G286" s="40">
        <f t="shared" si="73"/>
        <v>6294.7501810667536</v>
      </c>
      <c r="H286" s="360">
        <f t="shared" si="67"/>
        <v>10000000.000000015</v>
      </c>
      <c r="I286" s="365"/>
      <c r="J286" s="362">
        <f t="shared" si="74"/>
        <v>64340.301100034303</v>
      </c>
      <c r="K286" s="361"/>
      <c r="L286" s="360">
        <f t="shared" si="65"/>
        <v>20074.173943210702</v>
      </c>
      <c r="M286" s="361"/>
      <c r="N286" s="358">
        <f t="shared" si="75"/>
        <v>10000000</v>
      </c>
      <c r="O286" s="359"/>
      <c r="P286" s="9">
        <f t="shared" si="68"/>
        <v>19</v>
      </c>
      <c r="R286" s="40">
        <f t="shared" si="69"/>
        <v>1398.2299651500275</v>
      </c>
      <c r="S286" s="35">
        <f t="shared" si="66"/>
        <v>217317.90825412911</v>
      </c>
      <c r="T286" s="36">
        <f t="shared" si="70"/>
        <v>64340.301100034303</v>
      </c>
      <c r="V286"/>
      <c r="W286"/>
      <c r="X286" s="9">
        <v>238</v>
      </c>
      <c r="Y286" s="6">
        <v>20</v>
      </c>
    </row>
    <row r="287" spans="1:25" ht="20.25" customHeight="1" x14ac:dyDescent="0.35">
      <c r="A287" s="195" t="s">
        <v>360</v>
      </c>
      <c r="B287" s="60">
        <v>239</v>
      </c>
      <c r="C287" s="34">
        <f t="shared" si="64"/>
        <v>64340.301100034303</v>
      </c>
      <c r="D287" s="38">
        <f t="shared" si="76"/>
        <v>46.311601201917163</v>
      </c>
      <c r="E287" s="34">
        <f t="shared" si="71"/>
        <v>0</v>
      </c>
      <c r="F287" s="15">
        <f t="shared" si="72"/>
        <v>50447.388864175184</v>
      </c>
      <c r="G287" s="15">
        <f t="shared" si="73"/>
        <v>6305.923608021898</v>
      </c>
      <c r="H287" s="363">
        <f t="shared" si="67"/>
        <v>10000000.000000015</v>
      </c>
      <c r="I287" s="364"/>
      <c r="J287" s="362">
        <f t="shared" si="74"/>
        <v>64340.301100034303</v>
      </c>
      <c r="K287" s="361"/>
      <c r="L287" s="360">
        <f t="shared" si="65"/>
        <v>20074.173943210702</v>
      </c>
      <c r="M287" s="361"/>
      <c r="N287" s="358">
        <f t="shared" si="75"/>
        <v>10000000</v>
      </c>
      <c r="O287" s="359"/>
      <c r="P287" s="9">
        <f t="shared" si="68"/>
        <v>19</v>
      </c>
      <c r="R287" s="40">
        <f t="shared" si="69"/>
        <v>1389.2912235859123</v>
      </c>
      <c r="S287" s="35">
        <f t="shared" si="66"/>
        <v>215928.61703054319</v>
      </c>
      <c r="T287" s="36">
        <f t="shared" si="70"/>
        <v>64340.301100034303</v>
      </c>
      <c r="V287"/>
      <c r="W287"/>
      <c r="X287" s="9">
        <v>239</v>
      </c>
      <c r="Y287" s="6">
        <v>20</v>
      </c>
    </row>
    <row r="288" spans="1:25" ht="20.25" customHeight="1" x14ac:dyDescent="0.35">
      <c r="A288" s="195" t="s">
        <v>361</v>
      </c>
      <c r="B288" s="63">
        <v>240</v>
      </c>
      <c r="C288" s="39">
        <f t="shared" si="64"/>
        <v>64340.301100034303</v>
      </c>
      <c r="D288" s="38">
        <f t="shared" si="76"/>
        <v>46.609571438492772</v>
      </c>
      <c r="E288" s="39">
        <f t="shared" si="71"/>
        <v>0</v>
      </c>
      <c r="F288" s="40">
        <f t="shared" si="72"/>
        <v>50536.20483518461</v>
      </c>
      <c r="G288" s="40">
        <f t="shared" si="73"/>
        <v>6317.0256043980762</v>
      </c>
      <c r="H288" s="360">
        <f t="shared" si="67"/>
        <v>10000000.000000015</v>
      </c>
      <c r="I288" s="365"/>
      <c r="J288" s="362">
        <f t="shared" si="74"/>
        <v>64340.301100034303</v>
      </c>
      <c r="K288" s="361"/>
      <c r="L288" s="360">
        <f t="shared" si="65"/>
        <v>20074.173943210702</v>
      </c>
      <c r="M288" s="361"/>
      <c r="N288" s="358">
        <f t="shared" si="75"/>
        <v>10000000</v>
      </c>
      <c r="O288" s="359"/>
      <c r="P288" s="9">
        <f t="shared" si="68"/>
        <v>19</v>
      </c>
      <c r="R288" s="40">
        <f t="shared" si="69"/>
        <v>1380.4096264849693</v>
      </c>
      <c r="S288" s="35">
        <f t="shared" si="66"/>
        <v>214548.20740405822</v>
      </c>
      <c r="T288" s="36">
        <f t="shared" si="70"/>
        <v>64340.301100034303</v>
      </c>
      <c r="V288"/>
      <c r="W288"/>
      <c r="X288" s="9">
        <v>240</v>
      </c>
      <c r="Y288" s="6">
        <v>20</v>
      </c>
    </row>
    <row r="289" spans="1:25" ht="20.25" customHeight="1" x14ac:dyDescent="0.35">
      <c r="A289" s="195" t="s">
        <v>360</v>
      </c>
      <c r="B289" s="60">
        <v>241</v>
      </c>
      <c r="C289" s="34">
        <f t="shared" si="64"/>
        <v>64340.301100034303</v>
      </c>
      <c r="D289" s="38">
        <f t="shared" si="76"/>
        <v>46.909458824542391</v>
      </c>
      <c r="E289" s="34">
        <f t="shared" si="71"/>
        <v>0</v>
      </c>
      <c r="F289" s="15">
        <f t="shared" si="72"/>
        <v>50624.453014749561</v>
      </c>
      <c r="G289" s="15">
        <f t="shared" si="73"/>
        <v>6328.0566268436951</v>
      </c>
      <c r="H289" s="363">
        <f t="shared" si="67"/>
        <v>10000000.000000015</v>
      </c>
      <c r="I289" s="364"/>
      <c r="J289" s="362">
        <f t="shared" si="74"/>
        <v>64340.301100034303</v>
      </c>
      <c r="K289" s="361"/>
      <c r="L289" s="360">
        <f t="shared" si="65"/>
        <v>20074.173943210702</v>
      </c>
      <c r="M289" s="361"/>
      <c r="N289" s="358">
        <f t="shared" si="75"/>
        <v>10000000</v>
      </c>
      <c r="O289" s="359"/>
      <c r="P289" s="9">
        <f t="shared" si="68"/>
        <v>20</v>
      </c>
      <c r="R289" s="40">
        <f t="shared" si="69"/>
        <v>1371.5848085284738</v>
      </c>
      <c r="S289" s="35">
        <f t="shared" si="66"/>
        <v>213176.62259552974</v>
      </c>
      <c r="T289" s="36">
        <f t="shared" si="70"/>
        <v>64340.301100034303</v>
      </c>
      <c r="V289"/>
      <c r="W289"/>
      <c r="X289" s="9">
        <v>241</v>
      </c>
      <c r="Y289" s="6">
        <v>21</v>
      </c>
    </row>
    <row r="290" spans="1:25" ht="20.25" customHeight="1" x14ac:dyDescent="0.35">
      <c r="A290" s="195" t="s">
        <v>361</v>
      </c>
      <c r="B290" s="63">
        <v>242</v>
      </c>
      <c r="C290" s="39">
        <f t="shared" si="64"/>
        <v>64340.301100034303</v>
      </c>
      <c r="D290" s="38">
        <f t="shared" si="76"/>
        <v>47.211275695063463</v>
      </c>
      <c r="E290" s="39">
        <f t="shared" si="71"/>
        <v>0</v>
      </c>
      <c r="F290" s="40">
        <f t="shared" si="72"/>
        <v>50712.137032702842</v>
      </c>
      <c r="G290" s="40">
        <f t="shared" si="73"/>
        <v>6339.0171290878552</v>
      </c>
      <c r="H290" s="360">
        <f t="shared" si="67"/>
        <v>10000000.000000015</v>
      </c>
      <c r="I290" s="365"/>
      <c r="J290" s="362">
        <f t="shared" si="74"/>
        <v>64340.301100034303</v>
      </c>
      <c r="K290" s="361"/>
      <c r="L290" s="360">
        <f t="shared" si="65"/>
        <v>20074.173943210702</v>
      </c>
      <c r="M290" s="361"/>
      <c r="N290" s="358">
        <f t="shared" si="75"/>
        <v>10000000</v>
      </c>
      <c r="O290" s="359"/>
      <c r="P290" s="9">
        <f t="shared" si="68"/>
        <v>20</v>
      </c>
      <c r="R290" s="40">
        <f t="shared" si="69"/>
        <v>1362.8164067331461</v>
      </c>
      <c r="S290" s="35">
        <f t="shared" si="66"/>
        <v>211813.80618879659</v>
      </c>
      <c r="T290" s="36">
        <f t="shared" si="70"/>
        <v>64340.301100034303</v>
      </c>
      <c r="V290"/>
      <c r="W290"/>
      <c r="X290" s="9">
        <v>242</v>
      </c>
      <c r="Y290" s="6">
        <v>21</v>
      </c>
    </row>
    <row r="291" spans="1:25" ht="20.25" customHeight="1" x14ac:dyDescent="0.35">
      <c r="A291" s="195" t="s">
        <v>360</v>
      </c>
      <c r="B291" s="60">
        <v>243</v>
      </c>
      <c r="C291" s="34">
        <f t="shared" si="64"/>
        <v>64340.301100034303</v>
      </c>
      <c r="D291" s="38">
        <f t="shared" si="76"/>
        <v>47.515034464417177</v>
      </c>
      <c r="E291" s="34">
        <f t="shared" si="71"/>
        <v>0</v>
      </c>
      <c r="F291" s="15">
        <f t="shared" si="72"/>
        <v>50799.26049567209</v>
      </c>
      <c r="G291" s="15">
        <f t="shared" si="73"/>
        <v>6349.9075619590112</v>
      </c>
      <c r="H291" s="363">
        <f t="shared" si="67"/>
        <v>10000000.000000017</v>
      </c>
      <c r="I291" s="364"/>
      <c r="J291" s="362">
        <f t="shared" si="74"/>
        <v>64340.301100034303</v>
      </c>
      <c r="K291" s="361"/>
      <c r="L291" s="360">
        <f t="shared" si="65"/>
        <v>20074.173943210702</v>
      </c>
      <c r="M291" s="361"/>
      <c r="N291" s="358">
        <f t="shared" si="75"/>
        <v>10000000</v>
      </c>
      <c r="O291" s="359"/>
      <c r="P291" s="9">
        <f t="shared" si="68"/>
        <v>20</v>
      </c>
      <c r="R291" s="40">
        <f t="shared" si="69"/>
        <v>1354.1040604362215</v>
      </c>
      <c r="S291" s="35">
        <f t="shared" si="66"/>
        <v>210459.70212836037</v>
      </c>
      <c r="T291" s="36">
        <f t="shared" si="70"/>
        <v>64340.301100034303</v>
      </c>
      <c r="V291"/>
      <c r="W291"/>
      <c r="X291" s="9">
        <v>243</v>
      </c>
      <c r="Y291" s="6">
        <v>21</v>
      </c>
    </row>
    <row r="292" spans="1:25" ht="20.25" customHeight="1" x14ac:dyDescent="0.35">
      <c r="A292" s="195" t="s">
        <v>361</v>
      </c>
      <c r="B292" s="63">
        <v>244</v>
      </c>
      <c r="C292" s="39">
        <f t="shared" si="64"/>
        <v>64340.301100034303</v>
      </c>
      <c r="D292" s="38">
        <f t="shared" si="76"/>
        <v>47.820747626839086</v>
      </c>
      <c r="E292" s="39">
        <f t="shared" si="71"/>
        <v>0</v>
      </c>
      <c r="F292" s="40">
        <f t="shared" si="72"/>
        <v>50885.826987228145</v>
      </c>
      <c r="G292" s="40">
        <f t="shared" si="73"/>
        <v>6360.7283734035182</v>
      </c>
      <c r="H292" s="360">
        <f t="shared" si="67"/>
        <v>10000000.000000015</v>
      </c>
      <c r="I292" s="365"/>
      <c r="J292" s="362">
        <f t="shared" si="74"/>
        <v>64340.301100034303</v>
      </c>
      <c r="K292" s="361"/>
      <c r="L292" s="360">
        <f t="shared" si="65"/>
        <v>20074.173943210702</v>
      </c>
      <c r="M292" s="361"/>
      <c r="N292" s="358">
        <f t="shared" si="75"/>
        <v>10000000</v>
      </c>
      <c r="O292" s="359"/>
      <c r="P292" s="9">
        <f t="shared" si="68"/>
        <v>20</v>
      </c>
      <c r="R292" s="40">
        <f t="shared" si="69"/>
        <v>1345.4474112806158</v>
      </c>
      <c r="S292" s="35">
        <f t="shared" si="66"/>
        <v>209114.25471707975</v>
      </c>
      <c r="T292" s="36">
        <f t="shared" si="70"/>
        <v>64340.301100034303</v>
      </c>
      <c r="V292"/>
      <c r="W292"/>
      <c r="X292" s="9">
        <v>244</v>
      </c>
      <c r="Y292" s="6">
        <v>21</v>
      </c>
    </row>
    <row r="293" spans="1:25" ht="20.25" customHeight="1" x14ac:dyDescent="0.35">
      <c r="A293" s="195" t="s">
        <v>360</v>
      </c>
      <c r="B293" s="60">
        <v>245</v>
      </c>
      <c r="C293" s="34">
        <f t="shared" si="64"/>
        <v>64340.301100034303</v>
      </c>
      <c r="D293" s="38">
        <f t="shared" si="76"/>
        <v>48.128427756953045</v>
      </c>
      <c r="E293" s="34">
        <f t="shared" si="71"/>
        <v>0</v>
      </c>
      <c r="F293" s="15">
        <f t="shared" si="72"/>
        <v>50971.840068032448</v>
      </c>
      <c r="G293" s="15">
        <f t="shared" si="73"/>
        <v>6371.4800085040561</v>
      </c>
      <c r="H293" s="363">
        <f t="shared" si="67"/>
        <v>10000000.000000015</v>
      </c>
      <c r="I293" s="364"/>
      <c r="J293" s="362">
        <f t="shared" si="74"/>
        <v>64340.301100034303</v>
      </c>
      <c r="K293" s="361"/>
      <c r="L293" s="360">
        <f t="shared" si="65"/>
        <v>20074.173943210702</v>
      </c>
      <c r="M293" s="361"/>
      <c r="N293" s="358">
        <f t="shared" si="75"/>
        <v>10000000</v>
      </c>
      <c r="O293" s="359"/>
      <c r="P293" s="9">
        <f t="shared" si="68"/>
        <v>20</v>
      </c>
      <c r="R293" s="40">
        <f t="shared" si="69"/>
        <v>1336.8461032001851</v>
      </c>
      <c r="S293" s="35">
        <f t="shared" si="66"/>
        <v>207777.40861387955</v>
      </c>
      <c r="T293" s="36">
        <f t="shared" si="70"/>
        <v>64340.301100034303</v>
      </c>
      <c r="V293"/>
      <c r="W293"/>
      <c r="X293" s="9">
        <v>245</v>
      </c>
      <c r="Y293" s="6">
        <v>21</v>
      </c>
    </row>
    <row r="294" spans="1:25" ht="20.25" customHeight="1" x14ac:dyDescent="0.35">
      <c r="A294" s="195" t="s">
        <v>361</v>
      </c>
      <c r="B294" s="63">
        <v>246</v>
      </c>
      <c r="C294" s="39">
        <f t="shared" si="64"/>
        <v>64340.301100034303</v>
      </c>
      <c r="D294" s="38">
        <f t="shared" si="76"/>
        <v>48.438087510288405</v>
      </c>
      <c r="E294" s="39">
        <f t="shared" si="71"/>
        <v>0</v>
      </c>
      <c r="F294" s="40">
        <f t="shared" si="72"/>
        <v>51057.303275983504</v>
      </c>
      <c r="G294" s="40">
        <f t="shared" si="73"/>
        <v>6382.162909497938</v>
      </c>
      <c r="H294" s="360">
        <f t="shared" si="67"/>
        <v>10000000.000000015</v>
      </c>
      <c r="I294" s="365"/>
      <c r="J294" s="362">
        <f t="shared" si="74"/>
        <v>64340.301100034303</v>
      </c>
      <c r="K294" s="361"/>
      <c r="L294" s="360">
        <f t="shared" si="65"/>
        <v>20074.173943210702</v>
      </c>
      <c r="M294" s="361"/>
      <c r="N294" s="358">
        <f t="shared" si="75"/>
        <v>10000000</v>
      </c>
      <c r="O294" s="359"/>
      <c r="P294" s="9">
        <f t="shared" si="68"/>
        <v>20</v>
      </c>
      <c r="R294" s="40">
        <f t="shared" si="69"/>
        <v>1328.2997824050799</v>
      </c>
      <c r="S294" s="35">
        <f t="shared" si="66"/>
        <v>206449.10883147447</v>
      </c>
      <c r="T294" s="36">
        <f t="shared" si="70"/>
        <v>64340.301100034303</v>
      </c>
      <c r="V294"/>
      <c r="W294"/>
      <c r="X294" s="9">
        <v>246</v>
      </c>
      <c r="Y294" s="6">
        <v>21</v>
      </c>
    </row>
    <row r="295" spans="1:25" ht="20.25" customHeight="1" x14ac:dyDescent="0.35">
      <c r="A295" s="195" t="s">
        <v>360</v>
      </c>
      <c r="B295" s="60">
        <v>247</v>
      </c>
      <c r="C295" s="34">
        <f t="shared" si="64"/>
        <v>64340.301100034303</v>
      </c>
      <c r="D295" s="38">
        <f t="shared" si="76"/>
        <v>48.749739623800579</v>
      </c>
      <c r="E295" s="34">
        <f t="shared" si="71"/>
        <v>0</v>
      </c>
      <c r="F295" s="15">
        <f t="shared" si="72"/>
        <v>51142.220126362379</v>
      </c>
      <c r="G295" s="15">
        <f t="shared" si="73"/>
        <v>6392.7775157952974</v>
      </c>
      <c r="H295" s="363">
        <f t="shared" si="67"/>
        <v>10000000.000000015</v>
      </c>
      <c r="I295" s="364"/>
      <c r="J295" s="362">
        <f t="shared" si="74"/>
        <v>64340.301100034303</v>
      </c>
      <c r="K295" s="361"/>
      <c r="L295" s="360">
        <f t="shared" si="65"/>
        <v>20074.173943210702</v>
      </c>
      <c r="M295" s="361"/>
      <c r="N295" s="358">
        <f t="shared" si="75"/>
        <v>10000000</v>
      </c>
      <c r="O295" s="359"/>
      <c r="P295" s="9">
        <f t="shared" si="68"/>
        <v>20</v>
      </c>
      <c r="R295" s="40">
        <f t="shared" si="69"/>
        <v>1319.8080973671931</v>
      </c>
      <c r="S295" s="35">
        <f t="shared" si="66"/>
        <v>205129.30073410727</v>
      </c>
      <c r="T295" s="36">
        <f t="shared" si="70"/>
        <v>64340.301100034303</v>
      </c>
      <c r="V295"/>
      <c r="W295"/>
      <c r="X295" s="9">
        <v>247</v>
      </c>
      <c r="Y295" s="6">
        <v>21</v>
      </c>
    </row>
    <row r="296" spans="1:25" ht="20.25" customHeight="1" x14ac:dyDescent="0.35">
      <c r="A296" s="195" t="s">
        <v>361</v>
      </c>
      <c r="B296" s="63">
        <v>248</v>
      </c>
      <c r="C296" s="39">
        <f t="shared" si="64"/>
        <v>64340.301100034303</v>
      </c>
      <c r="D296" s="38">
        <f t="shared" si="76"/>
        <v>49.063396916394936</v>
      </c>
      <c r="E296" s="39">
        <f t="shared" si="71"/>
        <v>0</v>
      </c>
      <c r="F296" s="40">
        <f t="shared" si="72"/>
        <v>51226.594111977298</v>
      </c>
      <c r="G296" s="40">
        <f t="shared" si="73"/>
        <v>6403.3242639971622</v>
      </c>
      <c r="H296" s="360">
        <f t="shared" si="67"/>
        <v>10000000.000000013</v>
      </c>
      <c r="I296" s="365"/>
      <c r="J296" s="362">
        <f t="shared" si="74"/>
        <v>64340.301100034303</v>
      </c>
      <c r="K296" s="361"/>
      <c r="L296" s="360">
        <f t="shared" si="65"/>
        <v>20074.173943210702</v>
      </c>
      <c r="M296" s="361"/>
      <c r="N296" s="358">
        <f t="shared" si="75"/>
        <v>10000000</v>
      </c>
      <c r="O296" s="359"/>
      <c r="P296" s="9">
        <f t="shared" si="68"/>
        <v>20</v>
      </c>
      <c r="R296" s="40">
        <f t="shared" si="69"/>
        <v>1311.3706988057011</v>
      </c>
      <c r="S296" s="35">
        <f t="shared" si="66"/>
        <v>203817.93003530157</v>
      </c>
      <c r="T296" s="36">
        <f t="shared" si="70"/>
        <v>64340.301100034303</v>
      </c>
      <c r="V296"/>
      <c r="W296"/>
      <c r="X296" s="9">
        <v>248</v>
      </c>
      <c r="Y296" s="6">
        <v>21</v>
      </c>
    </row>
    <row r="297" spans="1:25" ht="20.25" customHeight="1" x14ac:dyDescent="0.35">
      <c r="A297" s="195" t="s">
        <v>360</v>
      </c>
      <c r="B297" s="60">
        <v>249</v>
      </c>
      <c r="C297" s="34">
        <f t="shared" si="64"/>
        <v>64340.301100034303</v>
      </c>
      <c r="D297" s="38">
        <f t="shared" si="76"/>
        <v>49.379072289454072</v>
      </c>
      <c r="E297" s="34">
        <f t="shared" si="71"/>
        <v>0</v>
      </c>
      <c r="F297" s="15">
        <f t="shared" si="72"/>
        <v>51310.428703307341</v>
      </c>
      <c r="G297" s="15">
        <f t="shared" si="73"/>
        <v>6413.8035879134177</v>
      </c>
      <c r="H297" s="363">
        <f t="shared" si="67"/>
        <v>10000000.000000015</v>
      </c>
      <c r="I297" s="364"/>
      <c r="J297" s="362">
        <f t="shared" si="74"/>
        <v>64340.301100034303</v>
      </c>
      <c r="K297" s="361"/>
      <c r="L297" s="360">
        <f t="shared" si="65"/>
        <v>20074.173943210702</v>
      </c>
      <c r="M297" s="361"/>
      <c r="N297" s="358">
        <f t="shared" si="75"/>
        <v>10000000</v>
      </c>
      <c r="O297" s="359"/>
      <c r="P297" s="9">
        <f t="shared" si="68"/>
        <v>20</v>
      </c>
      <c r="R297" s="40">
        <f t="shared" si="69"/>
        <v>1302.9872396726967</v>
      </c>
      <c r="S297" s="35">
        <f t="shared" si="66"/>
        <v>202514.94279562889</v>
      </c>
      <c r="T297" s="36">
        <f t="shared" si="70"/>
        <v>64340.301100034303</v>
      </c>
      <c r="V297"/>
      <c r="W297"/>
      <c r="X297" s="9">
        <v>249</v>
      </c>
      <c r="Y297" s="6">
        <v>21</v>
      </c>
    </row>
    <row r="298" spans="1:25" ht="20.25" customHeight="1" x14ac:dyDescent="0.35">
      <c r="A298" s="195" t="s">
        <v>361</v>
      </c>
      <c r="B298" s="63">
        <v>250</v>
      </c>
      <c r="C298" s="39">
        <f t="shared" si="64"/>
        <v>64340.301100034303</v>
      </c>
      <c r="D298" s="38">
        <f t="shared" si="76"/>
        <v>49.696778727368454</v>
      </c>
      <c r="E298" s="39">
        <f t="shared" si="71"/>
        <v>0</v>
      </c>
      <c r="F298" s="40">
        <f t="shared" si="72"/>
        <v>51393.727348645152</v>
      </c>
      <c r="G298" s="40">
        <f t="shared" si="73"/>
        <v>6424.215918580644</v>
      </c>
      <c r="H298" s="360">
        <f t="shared" si="67"/>
        <v>10000000.000000015</v>
      </c>
      <c r="I298" s="365"/>
      <c r="J298" s="362">
        <f t="shared" si="74"/>
        <v>64340.301100034303</v>
      </c>
      <c r="K298" s="361"/>
      <c r="L298" s="360">
        <f t="shared" si="65"/>
        <v>20074.173943210702</v>
      </c>
      <c r="M298" s="361"/>
      <c r="N298" s="358">
        <f t="shared" si="75"/>
        <v>10000000</v>
      </c>
      <c r="O298" s="359"/>
      <c r="P298" s="9">
        <f t="shared" si="68"/>
        <v>20</v>
      </c>
      <c r="R298" s="40">
        <f t="shared" si="69"/>
        <v>1294.6573751389149</v>
      </c>
      <c r="S298" s="35">
        <f t="shared" si="66"/>
        <v>201220.28542048996</v>
      </c>
      <c r="T298" s="36">
        <f t="shared" si="70"/>
        <v>64340.301100034303</v>
      </c>
      <c r="V298"/>
      <c r="W298"/>
      <c r="X298" s="9">
        <v>250</v>
      </c>
      <c r="Y298" s="6">
        <v>21</v>
      </c>
    </row>
    <row r="299" spans="1:25" ht="20.25" customHeight="1" x14ac:dyDescent="0.35">
      <c r="A299" s="195" t="s">
        <v>360</v>
      </c>
      <c r="B299" s="60">
        <v>251</v>
      </c>
      <c r="C299" s="34">
        <f t="shared" si="64"/>
        <v>64340.301100034303</v>
      </c>
      <c r="D299" s="38">
        <f t="shared" si="76"/>
        <v>50.016529298070523</v>
      </c>
      <c r="E299" s="34">
        <f t="shared" si="71"/>
        <v>0</v>
      </c>
      <c r="F299" s="15">
        <f t="shared" si="72"/>
        <v>51476.493474238814</v>
      </c>
      <c r="G299" s="15">
        <f t="shared" si="73"/>
        <v>6434.5616842798518</v>
      </c>
      <c r="H299" s="363">
        <f t="shared" si="67"/>
        <v>10000000.000000015</v>
      </c>
      <c r="I299" s="364"/>
      <c r="J299" s="362">
        <f t="shared" si="74"/>
        <v>64340.301100034303</v>
      </c>
      <c r="K299" s="361"/>
      <c r="L299" s="360">
        <f t="shared" si="65"/>
        <v>20074.173943210702</v>
      </c>
      <c r="M299" s="361"/>
      <c r="N299" s="358">
        <f t="shared" si="75"/>
        <v>10000000</v>
      </c>
      <c r="O299" s="359"/>
      <c r="P299" s="9">
        <f t="shared" si="68"/>
        <v>20</v>
      </c>
      <c r="R299" s="40">
        <f t="shared" si="69"/>
        <v>1286.3807625795487</v>
      </c>
      <c r="S299" s="35">
        <f t="shared" si="66"/>
        <v>199933.9046579104</v>
      </c>
      <c r="T299" s="36">
        <f t="shared" si="70"/>
        <v>64340.301100034303</v>
      </c>
      <c r="V299"/>
      <c r="W299"/>
      <c r="X299" s="9">
        <v>251</v>
      </c>
      <c r="Y299" s="6">
        <v>21</v>
      </c>
    </row>
    <row r="300" spans="1:25" ht="20.25" customHeight="1" x14ac:dyDescent="0.35">
      <c r="A300" s="195" t="s">
        <v>361</v>
      </c>
      <c r="B300" s="63">
        <v>252</v>
      </c>
      <c r="C300" s="39">
        <f t="shared" si="64"/>
        <v>64340.301100034303</v>
      </c>
      <c r="D300" s="38">
        <f t="shared" si="76"/>
        <v>50.338337153572176</v>
      </c>
      <c r="E300" s="39">
        <f t="shared" si="71"/>
        <v>0</v>
      </c>
      <c r="F300" s="40">
        <f t="shared" si="72"/>
        <v>51558.73048443273</v>
      </c>
      <c r="G300" s="40">
        <f t="shared" si="73"/>
        <v>6444.8413105540913</v>
      </c>
      <c r="H300" s="360">
        <f t="shared" si="67"/>
        <v>10000000.000000013</v>
      </c>
      <c r="I300" s="365"/>
      <c r="J300" s="362">
        <f t="shared" si="74"/>
        <v>64340.301100034303</v>
      </c>
      <c r="K300" s="361"/>
      <c r="L300" s="360">
        <f t="shared" si="65"/>
        <v>20074.173943210702</v>
      </c>
      <c r="M300" s="361"/>
      <c r="N300" s="358">
        <f t="shared" si="75"/>
        <v>10000000</v>
      </c>
      <c r="O300" s="359"/>
      <c r="P300" s="9">
        <f t="shared" si="68"/>
        <v>20</v>
      </c>
      <c r="R300" s="40">
        <f t="shared" si="69"/>
        <v>1278.1570615601572</v>
      </c>
      <c r="S300" s="35">
        <f t="shared" si="66"/>
        <v>198655.74759635024</v>
      </c>
      <c r="T300" s="36">
        <f t="shared" si="70"/>
        <v>64340.301100034303</v>
      </c>
      <c r="V300"/>
      <c r="W300"/>
      <c r="X300" s="9">
        <v>252</v>
      </c>
      <c r="Y300" s="6">
        <v>21</v>
      </c>
    </row>
    <row r="301" spans="1:25" ht="20.25" customHeight="1" x14ac:dyDescent="0.35">
      <c r="A301" s="195" t="s">
        <v>360</v>
      </c>
      <c r="B301" s="60">
        <v>253</v>
      </c>
      <c r="C301" s="34">
        <f t="shared" ref="C301:C348" si="77">T301</f>
        <v>64340.301100034303</v>
      </c>
      <c r="D301" s="38">
        <f t="shared" si="76"/>
        <v>50.662215530505762</v>
      </c>
      <c r="E301" s="34">
        <f t="shared" si="71"/>
        <v>0</v>
      </c>
      <c r="F301" s="15">
        <f t="shared" si="72"/>
        <v>51640.441761807691</v>
      </c>
      <c r="G301" s="15">
        <f t="shared" si="73"/>
        <v>6455.0552202259614</v>
      </c>
      <c r="H301" s="363">
        <f t="shared" si="67"/>
        <v>10000000.000000013</v>
      </c>
      <c r="I301" s="364"/>
      <c r="J301" s="362">
        <f t="shared" si="74"/>
        <v>64340.301100034303</v>
      </c>
      <c r="K301" s="361"/>
      <c r="L301" s="360">
        <f t="shared" ref="L301:L348" si="78">J301*$H$8</f>
        <v>20074.173943210702</v>
      </c>
      <c r="M301" s="361"/>
      <c r="N301" s="358">
        <f t="shared" si="75"/>
        <v>10000000</v>
      </c>
      <c r="O301" s="359"/>
      <c r="P301" s="9">
        <f t="shared" si="68"/>
        <v>21</v>
      </c>
      <c r="R301" s="40">
        <f t="shared" si="69"/>
        <v>1269.9859338226615</v>
      </c>
      <c r="S301" s="35">
        <f t="shared" ref="S301:S348" si="79">S300-R301</f>
        <v>197385.76166252757</v>
      </c>
      <c r="T301" s="36">
        <f t="shared" si="70"/>
        <v>64340.301100034303</v>
      </c>
      <c r="V301"/>
      <c r="W301"/>
      <c r="X301" s="9">
        <v>253</v>
      </c>
      <c r="Y301" s="6">
        <v>22</v>
      </c>
    </row>
    <row r="302" spans="1:25" ht="20.25" customHeight="1" x14ac:dyDescent="0.35">
      <c r="A302" s="195" t="s">
        <v>361</v>
      </c>
      <c r="B302" s="63">
        <v>254</v>
      </c>
      <c r="C302" s="39">
        <f t="shared" si="77"/>
        <v>64340.301100034303</v>
      </c>
      <c r="D302" s="38">
        <f t="shared" si="76"/>
        <v>50.98817775066852</v>
      </c>
      <c r="E302" s="39">
        <f t="shared" si="71"/>
        <v>0</v>
      </c>
      <c r="F302" s="40">
        <f t="shared" si="72"/>
        <v>51721.63066731998</v>
      </c>
      <c r="G302" s="40">
        <f t="shared" si="73"/>
        <v>6465.2038334149975</v>
      </c>
      <c r="H302" s="360">
        <f t="shared" si="67"/>
        <v>10000000.000000013</v>
      </c>
      <c r="I302" s="365"/>
      <c r="J302" s="362">
        <f t="shared" si="74"/>
        <v>64340.301100034303</v>
      </c>
      <c r="K302" s="361"/>
      <c r="L302" s="360">
        <f t="shared" si="78"/>
        <v>20074.173943210702</v>
      </c>
      <c r="M302" s="361"/>
      <c r="N302" s="358">
        <f t="shared" si="75"/>
        <v>10000000</v>
      </c>
      <c r="O302" s="359"/>
      <c r="P302" s="9">
        <f t="shared" si="68"/>
        <v>21</v>
      </c>
      <c r="R302" s="40">
        <f t="shared" si="69"/>
        <v>1261.8670432714321</v>
      </c>
      <c r="S302" s="35">
        <f t="shared" si="79"/>
        <v>196123.89461925614</v>
      </c>
      <c r="T302" s="36">
        <f t="shared" si="70"/>
        <v>64340.301100034303</v>
      </c>
      <c r="V302"/>
      <c r="W302"/>
      <c r="X302" s="9">
        <v>254</v>
      </c>
      <c r="Y302" s="6">
        <v>22</v>
      </c>
    </row>
    <row r="303" spans="1:25" ht="20.25" customHeight="1" x14ac:dyDescent="0.35">
      <c r="A303" s="195" t="s">
        <v>360</v>
      </c>
      <c r="B303" s="60">
        <v>255</v>
      </c>
      <c r="C303" s="34">
        <f t="shared" si="77"/>
        <v>64340.301100034303</v>
      </c>
      <c r="D303" s="38">
        <f t="shared" si="76"/>
        <v>51.316237221570525</v>
      </c>
      <c r="E303" s="34">
        <f t="shared" si="71"/>
        <v>0</v>
      </c>
      <c r="F303" s="15">
        <f t="shared" si="72"/>
        <v>51802.300540439654</v>
      </c>
      <c r="G303" s="15">
        <f t="shared" si="73"/>
        <v>6475.2875675549567</v>
      </c>
      <c r="H303" s="363">
        <f t="shared" si="67"/>
        <v>10000000.000000013</v>
      </c>
      <c r="I303" s="364"/>
      <c r="J303" s="362">
        <f t="shared" si="74"/>
        <v>64340.301100034303</v>
      </c>
      <c r="K303" s="361"/>
      <c r="L303" s="360">
        <f t="shared" si="78"/>
        <v>20074.173943210702</v>
      </c>
      <c r="M303" s="361"/>
      <c r="N303" s="358">
        <f t="shared" si="75"/>
        <v>10000000</v>
      </c>
      <c r="O303" s="359"/>
      <c r="P303" s="9">
        <f t="shared" si="68"/>
        <v>21</v>
      </c>
      <c r="R303" s="40">
        <f t="shared" si="69"/>
        <v>1253.800055959465</v>
      </c>
      <c r="S303" s="35">
        <f t="shared" si="79"/>
        <v>194870.09456329668</v>
      </c>
      <c r="T303" s="36">
        <f t="shared" si="70"/>
        <v>64340.301100034303</v>
      </c>
      <c r="V303"/>
      <c r="W303"/>
      <c r="X303" s="9">
        <v>255</v>
      </c>
      <c r="Y303" s="6">
        <v>22</v>
      </c>
    </row>
    <row r="304" spans="1:25" ht="20.25" customHeight="1" x14ac:dyDescent="0.35">
      <c r="A304" s="195" t="s">
        <v>361</v>
      </c>
      <c r="B304" s="63">
        <v>256</v>
      </c>
      <c r="C304" s="39">
        <f t="shared" si="77"/>
        <v>64340.301100034303</v>
      </c>
      <c r="D304" s="38">
        <f t="shared" si="76"/>
        <v>51.646407436986188</v>
      </c>
      <c r="E304" s="39">
        <f t="shared" si="71"/>
        <v>0</v>
      </c>
      <c r="F304" s="40">
        <f t="shared" si="72"/>
        <v>51882.45469928786</v>
      </c>
      <c r="G304" s="40">
        <f t="shared" si="73"/>
        <v>6485.3068374109826</v>
      </c>
      <c r="H304" s="360">
        <f t="shared" si="67"/>
        <v>10000000.000000013</v>
      </c>
      <c r="I304" s="365"/>
      <c r="J304" s="362">
        <f t="shared" si="74"/>
        <v>64340.301100034303</v>
      </c>
      <c r="K304" s="361"/>
      <c r="L304" s="360">
        <f t="shared" si="78"/>
        <v>20074.173943210702</v>
      </c>
      <c r="M304" s="361"/>
      <c r="N304" s="358">
        <f t="shared" si="75"/>
        <v>10000000</v>
      </c>
      <c r="O304" s="359"/>
      <c r="P304" s="9">
        <f t="shared" si="68"/>
        <v>21</v>
      </c>
      <c r="R304" s="40">
        <f t="shared" si="69"/>
        <v>1245.784640074645</v>
      </c>
      <c r="S304" s="35">
        <f t="shared" si="79"/>
        <v>193624.30992322203</v>
      </c>
      <c r="T304" s="36">
        <f t="shared" si="70"/>
        <v>64340.301100034303</v>
      </c>
      <c r="V304"/>
      <c r="W304"/>
      <c r="X304" s="9">
        <v>256</v>
      </c>
      <c r="Y304" s="6">
        <v>22</v>
      </c>
    </row>
    <row r="305" spans="1:25" ht="20.25" customHeight="1" x14ac:dyDescent="0.35">
      <c r="A305" s="195" t="s">
        <v>360</v>
      </c>
      <c r="B305" s="60">
        <v>257</v>
      </c>
      <c r="C305" s="34">
        <f t="shared" si="77"/>
        <v>64340.301100034303</v>
      </c>
      <c r="D305" s="38">
        <f t="shared" si="76"/>
        <v>51.97870197750926</v>
      </c>
      <c r="E305" s="34">
        <f t="shared" si="71"/>
        <v>0</v>
      </c>
      <c r="F305" s="15">
        <f t="shared" si="72"/>
        <v>51962.096440773326</v>
      </c>
      <c r="G305" s="15">
        <f t="shared" si="73"/>
        <v>6495.2620550966658</v>
      </c>
      <c r="H305" s="363">
        <f t="shared" ref="H305:H348" si="80">S305*D305</f>
        <v>10000000.000000011</v>
      </c>
      <c r="I305" s="364"/>
      <c r="J305" s="362">
        <f t="shared" si="74"/>
        <v>64340.301100034303</v>
      </c>
      <c r="K305" s="361"/>
      <c r="L305" s="360">
        <f t="shared" si="78"/>
        <v>20074.173943210702</v>
      </c>
      <c r="M305" s="361"/>
      <c r="N305" s="358">
        <f t="shared" si="75"/>
        <v>10000000</v>
      </c>
      <c r="O305" s="359"/>
      <c r="P305" s="9">
        <f t="shared" ref="P305:P348" si="81">ROUNDUP(B305/12,0) - 1</f>
        <v>21</v>
      </c>
      <c r="R305" s="40">
        <f t="shared" ref="R305:R348" si="82">IF($X$16/D305&gt;S304,S304,$X$16/D305)</f>
        <v>1237.820465926098</v>
      </c>
      <c r="S305" s="35">
        <f t="shared" si="79"/>
        <v>192386.48945729592</v>
      </c>
      <c r="T305" s="36">
        <f t="shared" ref="T305:T348" si="83">IF($X$16/D305&gt;S304,S304*D305,$X$16)</f>
        <v>64340.301100034303</v>
      </c>
      <c r="V305"/>
      <c r="W305"/>
      <c r="X305" s="9">
        <v>257</v>
      </c>
      <c r="Y305" s="6">
        <v>22</v>
      </c>
    </row>
    <row r="306" spans="1:25" ht="20.25" customHeight="1" x14ac:dyDescent="0.35">
      <c r="A306" s="195" t="s">
        <v>361</v>
      </c>
      <c r="B306" s="63">
        <v>258</v>
      </c>
      <c r="C306" s="39">
        <f t="shared" si="77"/>
        <v>64340.301100034303</v>
      </c>
      <c r="D306" s="38">
        <f t="shared" si="76"/>
        <v>52.31313451111145</v>
      </c>
      <c r="E306" s="39">
        <f t="shared" ref="E306:E348" si="84">IF(AND(OR($N$5="Other",$N$5="Debt"), B306&lt;24),R306*(D306-10), IF(AND($N$5="Equity", B306&lt;12),R306*(D306-10), 0))</f>
        <v>0</v>
      </c>
      <c r="F306" s="40">
        <f t="shared" ref="F306:F348" si="85">IF(AND(OR($N$5="Other",$N$5="Debt"), B306&gt;=24),R306*(D306-10), IF(AND($N$5="Equity", B306&gt;=12),R306*(D306-10),0))</f>
        <v>52041.229040728009</v>
      </c>
      <c r="G306" s="40">
        <f t="shared" ref="G306:G348" si="86">IF(AND($N$5="Equity", B306&lt; 12), E306*20%, IF(AND($N$5="Equity", B306&gt;= 12),F306*12.5%, IF(AND($N$5="Other", B306&lt;24),E306*$H$8, IF(AND($N$5="Other", B306&gt;=24),F306*12.5%,F306*$H$8))))</f>
        <v>6505.1536300910011</v>
      </c>
      <c r="H306" s="360">
        <f t="shared" si="80"/>
        <v>10000000.000000013</v>
      </c>
      <c r="I306" s="365"/>
      <c r="J306" s="362">
        <f t="shared" si="74"/>
        <v>64340.301100034303</v>
      </c>
      <c r="K306" s="361"/>
      <c r="L306" s="360">
        <f t="shared" si="78"/>
        <v>20074.173943210702</v>
      </c>
      <c r="M306" s="361"/>
      <c r="N306" s="358">
        <f t="shared" si="75"/>
        <v>10000000</v>
      </c>
      <c r="O306" s="359"/>
      <c r="P306" s="9">
        <f t="shared" si="81"/>
        <v>21</v>
      </c>
      <c r="R306" s="40">
        <f t="shared" si="82"/>
        <v>1229.9072059306302</v>
      </c>
      <c r="S306" s="35">
        <f t="shared" si="79"/>
        <v>191156.5822513653</v>
      </c>
      <c r="T306" s="36">
        <f t="shared" si="83"/>
        <v>64340.301100034303</v>
      </c>
      <c r="V306"/>
      <c r="W306"/>
      <c r="X306" s="9">
        <v>258</v>
      </c>
      <c r="Y306" s="6">
        <v>22</v>
      </c>
    </row>
    <row r="307" spans="1:25" ht="20.25" customHeight="1" x14ac:dyDescent="0.35">
      <c r="A307" s="195" t="s">
        <v>360</v>
      </c>
      <c r="B307" s="60">
        <v>259</v>
      </c>
      <c r="C307" s="34">
        <f t="shared" si="77"/>
        <v>64340.301100034303</v>
      </c>
      <c r="D307" s="38">
        <f t="shared" si="76"/>
        <v>52.649718793704601</v>
      </c>
      <c r="E307" s="34">
        <f t="shared" si="84"/>
        <v>0</v>
      </c>
      <c r="F307" s="15">
        <f t="shared" si="85"/>
        <v>52119.855754041775</v>
      </c>
      <c r="G307" s="15">
        <f t="shared" si="86"/>
        <v>6514.9819692552219</v>
      </c>
      <c r="H307" s="363">
        <f t="shared" si="80"/>
        <v>10000000.000000011</v>
      </c>
      <c r="I307" s="364"/>
      <c r="J307" s="362">
        <f t="shared" si="74"/>
        <v>64340.301100034303</v>
      </c>
      <c r="K307" s="361"/>
      <c r="L307" s="360">
        <f t="shared" si="78"/>
        <v>20074.173943210702</v>
      </c>
      <c r="M307" s="361"/>
      <c r="N307" s="358">
        <f t="shared" si="75"/>
        <v>10000000</v>
      </c>
      <c r="O307" s="359"/>
      <c r="P307" s="9">
        <f t="shared" si="81"/>
        <v>21</v>
      </c>
      <c r="R307" s="40">
        <f t="shared" si="82"/>
        <v>1222.0445345992534</v>
      </c>
      <c r="S307" s="35">
        <f t="shared" si="79"/>
        <v>189934.53771676603</v>
      </c>
      <c r="T307" s="36">
        <f t="shared" si="83"/>
        <v>64340.301100034303</v>
      </c>
      <c r="V307"/>
      <c r="W307"/>
      <c r="X307" s="9">
        <v>259</v>
      </c>
      <c r="Y307" s="6">
        <v>22</v>
      </c>
    </row>
    <row r="308" spans="1:25" ht="20.25" customHeight="1" x14ac:dyDescent="0.35">
      <c r="A308" s="195" t="s">
        <v>361</v>
      </c>
      <c r="B308" s="63">
        <v>260</v>
      </c>
      <c r="C308" s="39">
        <f t="shared" si="77"/>
        <v>64340.301100034303</v>
      </c>
      <c r="D308" s="38">
        <f t="shared" si="76"/>
        <v>52.988468669706506</v>
      </c>
      <c r="E308" s="39">
        <f t="shared" si="84"/>
        <v>0</v>
      </c>
      <c r="F308" s="40">
        <f t="shared" si="85"/>
        <v>52197.97981479633</v>
      </c>
      <c r="G308" s="40">
        <f t="shared" si="86"/>
        <v>6524.7474768495413</v>
      </c>
      <c r="H308" s="360">
        <f t="shared" si="80"/>
        <v>10000000.000000011</v>
      </c>
      <c r="I308" s="365"/>
      <c r="J308" s="362">
        <f t="shared" si="74"/>
        <v>64340.301100034303</v>
      </c>
      <c r="K308" s="361"/>
      <c r="L308" s="360">
        <f t="shared" si="78"/>
        <v>20074.173943210702</v>
      </c>
      <c r="M308" s="361"/>
      <c r="N308" s="358">
        <f t="shared" si="75"/>
        <v>10000000</v>
      </c>
      <c r="O308" s="359"/>
      <c r="P308" s="9">
        <f t="shared" si="81"/>
        <v>21</v>
      </c>
      <c r="R308" s="40">
        <f t="shared" si="82"/>
        <v>1214.2321285237979</v>
      </c>
      <c r="S308" s="35">
        <f t="shared" si="79"/>
        <v>188720.30558824225</v>
      </c>
      <c r="T308" s="36">
        <f t="shared" si="83"/>
        <v>64340.301100034303</v>
      </c>
      <c r="V308"/>
      <c r="W308"/>
      <c r="X308" s="9">
        <v>260</v>
      </c>
      <c r="Y308" s="6">
        <v>22</v>
      </c>
    </row>
    <row r="309" spans="1:25" ht="20.25" customHeight="1" x14ac:dyDescent="0.35">
      <c r="A309" s="195" t="s">
        <v>360</v>
      </c>
      <c r="B309" s="60">
        <v>261</v>
      </c>
      <c r="C309" s="34">
        <f t="shared" si="77"/>
        <v>64340.301100034303</v>
      </c>
      <c r="D309" s="38">
        <f t="shared" si="76"/>
        <v>53.329398072610374</v>
      </c>
      <c r="E309" s="34">
        <f t="shared" si="84"/>
        <v>0</v>
      </c>
      <c r="F309" s="15">
        <f t="shared" si="85"/>
        <v>52275.604436398215</v>
      </c>
      <c r="G309" s="15">
        <f t="shared" si="86"/>
        <v>6534.4505545497768</v>
      </c>
      <c r="H309" s="363">
        <f t="shared" si="80"/>
        <v>10000000.000000013</v>
      </c>
      <c r="I309" s="364"/>
      <c r="J309" s="362">
        <f t="shared" si="74"/>
        <v>64340.301100034303</v>
      </c>
      <c r="K309" s="361"/>
      <c r="L309" s="360">
        <f t="shared" si="78"/>
        <v>20074.173943210702</v>
      </c>
      <c r="M309" s="361"/>
      <c r="N309" s="358">
        <f t="shared" si="75"/>
        <v>10000000</v>
      </c>
      <c r="O309" s="359"/>
      <c r="P309" s="9">
        <f t="shared" si="81"/>
        <v>21</v>
      </c>
      <c r="R309" s="40">
        <f t="shared" si="82"/>
        <v>1206.4696663636084</v>
      </c>
      <c r="S309" s="35">
        <f t="shared" si="79"/>
        <v>187513.83592187864</v>
      </c>
      <c r="T309" s="36">
        <f t="shared" si="83"/>
        <v>64340.301100034303</v>
      </c>
      <c r="V309"/>
      <c r="W309"/>
      <c r="X309" s="9">
        <v>261</v>
      </c>
      <c r="Y309" s="6">
        <v>22</v>
      </c>
    </row>
    <row r="310" spans="1:25" ht="20.25" customHeight="1" x14ac:dyDescent="0.35">
      <c r="A310" s="195" t="s">
        <v>361</v>
      </c>
      <c r="B310" s="63">
        <v>262</v>
      </c>
      <c r="C310" s="39">
        <f t="shared" si="77"/>
        <v>64340.301100034303</v>
      </c>
      <c r="D310" s="38">
        <f t="shared" si="76"/>
        <v>53.672521025557906</v>
      </c>
      <c r="E310" s="39">
        <f t="shared" si="84"/>
        <v>0</v>
      </c>
      <c r="F310" s="40">
        <f t="shared" si="85"/>
        <v>52352.732811711016</v>
      </c>
      <c r="G310" s="40">
        <f t="shared" si="86"/>
        <v>6544.0916014638769</v>
      </c>
      <c r="H310" s="360">
        <f t="shared" si="80"/>
        <v>10000000.000000013</v>
      </c>
      <c r="I310" s="365"/>
      <c r="J310" s="362">
        <f t="shared" si="74"/>
        <v>64340.301100034303</v>
      </c>
      <c r="K310" s="361"/>
      <c r="L310" s="360">
        <f t="shared" si="78"/>
        <v>20074.173943210702</v>
      </c>
      <c r="M310" s="361"/>
      <c r="N310" s="358">
        <f t="shared" si="75"/>
        <v>10000000</v>
      </c>
      <c r="O310" s="359"/>
      <c r="P310" s="9">
        <f t="shared" si="81"/>
        <v>21</v>
      </c>
      <c r="R310" s="40">
        <f t="shared" si="82"/>
        <v>1198.7568288323291</v>
      </c>
      <c r="S310" s="35">
        <f t="shared" si="79"/>
        <v>186315.07909304631</v>
      </c>
      <c r="T310" s="36">
        <f t="shared" si="83"/>
        <v>64340.301100034303</v>
      </c>
      <c r="V310"/>
      <c r="W310"/>
      <c r="X310" s="9">
        <v>262</v>
      </c>
      <c r="Y310" s="6">
        <v>22</v>
      </c>
    </row>
    <row r="311" spans="1:25" ht="20.25" customHeight="1" x14ac:dyDescent="0.35">
      <c r="A311" s="195" t="s">
        <v>360</v>
      </c>
      <c r="B311" s="60">
        <v>263</v>
      </c>
      <c r="C311" s="34">
        <f t="shared" si="77"/>
        <v>64340.301100034303</v>
      </c>
      <c r="D311" s="38">
        <f t="shared" si="76"/>
        <v>54.017851641916138</v>
      </c>
      <c r="E311" s="34">
        <f t="shared" si="84"/>
        <v>0</v>
      </c>
      <c r="F311" s="15">
        <f t="shared" si="85"/>
        <v>52429.368113186618</v>
      </c>
      <c r="G311" s="15">
        <f t="shared" si="86"/>
        <v>6553.6710141483272</v>
      </c>
      <c r="H311" s="363">
        <f t="shared" si="80"/>
        <v>10000000.000000013</v>
      </c>
      <c r="I311" s="364"/>
      <c r="J311" s="362">
        <f t="shared" si="74"/>
        <v>64340.301100034303</v>
      </c>
      <c r="K311" s="361"/>
      <c r="L311" s="360">
        <f t="shared" si="78"/>
        <v>20074.173943210702</v>
      </c>
      <c r="M311" s="361"/>
      <c r="N311" s="358">
        <f t="shared" si="75"/>
        <v>10000000</v>
      </c>
      <c r="O311" s="359"/>
      <c r="P311" s="9">
        <f t="shared" si="81"/>
        <v>21</v>
      </c>
      <c r="R311" s="40">
        <f t="shared" si="82"/>
        <v>1191.0932986847679</v>
      </c>
      <c r="S311" s="35">
        <f t="shared" si="79"/>
        <v>185123.98579436154</v>
      </c>
      <c r="T311" s="36">
        <f t="shared" si="83"/>
        <v>64340.301100034303</v>
      </c>
      <c r="V311"/>
      <c r="W311"/>
      <c r="X311" s="9">
        <v>263</v>
      </c>
      <c r="Y311" s="6">
        <v>22</v>
      </c>
    </row>
    <row r="312" spans="1:25" ht="20.25" customHeight="1" x14ac:dyDescent="0.35">
      <c r="A312" s="195" t="s">
        <v>361</v>
      </c>
      <c r="B312" s="63">
        <v>264</v>
      </c>
      <c r="C312" s="39">
        <f t="shared" si="77"/>
        <v>64340.301100034303</v>
      </c>
      <c r="D312" s="38">
        <f t="shared" si="76"/>
        <v>54.365404125857928</v>
      </c>
      <c r="E312" s="39">
        <f t="shared" si="84"/>
        <v>0</v>
      </c>
      <c r="F312" s="40">
        <f t="shared" si="85"/>
        <v>52505.5134929958</v>
      </c>
      <c r="G312" s="40">
        <f t="shared" si="86"/>
        <v>6563.189186624475</v>
      </c>
      <c r="H312" s="360">
        <f t="shared" si="80"/>
        <v>10000000.000000013</v>
      </c>
      <c r="I312" s="365"/>
      <c r="J312" s="362">
        <f t="shared" si="74"/>
        <v>64340.301100034303</v>
      </c>
      <c r="K312" s="361"/>
      <c r="L312" s="360">
        <f t="shared" si="78"/>
        <v>20074.173943210702</v>
      </c>
      <c r="M312" s="361"/>
      <c r="N312" s="358">
        <f t="shared" si="75"/>
        <v>10000000</v>
      </c>
      <c r="O312" s="359"/>
      <c r="P312" s="9">
        <f t="shared" si="81"/>
        <v>21</v>
      </c>
      <c r="R312" s="40">
        <f t="shared" si="82"/>
        <v>1183.4787607038497</v>
      </c>
      <c r="S312" s="35">
        <f t="shared" si="79"/>
        <v>183940.50703365769</v>
      </c>
      <c r="T312" s="36">
        <f t="shared" si="83"/>
        <v>64340.301100034303</v>
      </c>
      <c r="V312"/>
      <c r="W312"/>
      <c r="X312" s="9">
        <v>264</v>
      </c>
      <c r="Y312" s="6">
        <v>22</v>
      </c>
    </row>
    <row r="313" spans="1:25" ht="20.25" customHeight="1" x14ac:dyDescent="0.35">
      <c r="A313" s="195" t="s">
        <v>360</v>
      </c>
      <c r="B313" s="60">
        <v>265</v>
      </c>
      <c r="C313" s="34">
        <f t="shared" si="77"/>
        <v>64340.301100034303</v>
      </c>
      <c r="D313" s="38">
        <f t="shared" si="76"/>
        <v>54.715192772946203</v>
      </c>
      <c r="E313" s="34">
        <f t="shared" si="84"/>
        <v>0</v>
      </c>
      <c r="F313" s="15">
        <f t="shared" si="85"/>
        <v>52581.172083157806</v>
      </c>
      <c r="G313" s="15">
        <f t="shared" si="86"/>
        <v>6572.6465103947257</v>
      </c>
      <c r="H313" s="363">
        <f t="shared" si="80"/>
        <v>10000000.000000013</v>
      </c>
      <c r="I313" s="364"/>
      <c r="J313" s="362">
        <f t="shared" si="74"/>
        <v>64340.301100034303</v>
      </c>
      <c r="K313" s="361"/>
      <c r="L313" s="360">
        <f t="shared" si="78"/>
        <v>20074.173943210702</v>
      </c>
      <c r="M313" s="361"/>
      <c r="N313" s="358">
        <f t="shared" si="75"/>
        <v>10000000</v>
      </c>
      <c r="O313" s="359"/>
      <c r="P313" s="9">
        <f t="shared" si="81"/>
        <v>22</v>
      </c>
      <c r="R313" s="40">
        <f t="shared" si="82"/>
        <v>1175.91290168765</v>
      </c>
      <c r="S313" s="35">
        <f t="shared" si="79"/>
        <v>182764.59413197005</v>
      </c>
      <c r="T313" s="36">
        <f t="shared" si="83"/>
        <v>64340.301100034303</v>
      </c>
      <c r="V313"/>
      <c r="W313"/>
      <c r="X313" s="9">
        <v>265</v>
      </c>
      <c r="Y313" s="6">
        <v>23</v>
      </c>
    </row>
    <row r="314" spans="1:25" ht="20.25" customHeight="1" x14ac:dyDescent="0.35">
      <c r="A314" s="195" t="s">
        <v>361</v>
      </c>
      <c r="B314" s="63">
        <v>266</v>
      </c>
      <c r="C314" s="39">
        <f t="shared" si="77"/>
        <v>64340.301100034303</v>
      </c>
      <c r="D314" s="38">
        <f t="shared" si="76"/>
        <v>55.067231970721984</v>
      </c>
      <c r="E314" s="39">
        <f t="shared" si="84"/>
        <v>0</v>
      </c>
      <c r="F314" s="40">
        <f t="shared" si="85"/>
        <v>52656.346995669192</v>
      </c>
      <c r="G314" s="40">
        <f t="shared" si="86"/>
        <v>6582.0433744586489</v>
      </c>
      <c r="H314" s="360">
        <f t="shared" si="80"/>
        <v>10000000.000000013</v>
      </c>
      <c r="I314" s="365"/>
      <c r="J314" s="362">
        <f t="shared" si="74"/>
        <v>64340.301100034303</v>
      </c>
      <c r="K314" s="361"/>
      <c r="L314" s="360">
        <f t="shared" si="78"/>
        <v>20074.173943210702</v>
      </c>
      <c r="M314" s="361"/>
      <c r="N314" s="358">
        <f t="shared" si="75"/>
        <v>10000000</v>
      </c>
      <c r="O314" s="359"/>
      <c r="P314" s="9">
        <f t="shared" si="81"/>
        <v>22</v>
      </c>
      <c r="R314" s="40">
        <f t="shared" si="82"/>
        <v>1168.3954104365116</v>
      </c>
      <c r="S314" s="35">
        <f t="shared" si="79"/>
        <v>181596.19872153352</v>
      </c>
      <c r="T314" s="36">
        <f t="shared" si="83"/>
        <v>64340.301100034303</v>
      </c>
      <c r="V314"/>
      <c r="W314"/>
      <c r="X314" s="9">
        <v>266</v>
      </c>
      <c r="Y314" s="6">
        <v>23</v>
      </c>
    </row>
    <row r="315" spans="1:25" ht="20.25" customHeight="1" x14ac:dyDescent="0.35">
      <c r="A315" s="195" t="s">
        <v>360</v>
      </c>
      <c r="B315" s="60">
        <v>267</v>
      </c>
      <c r="C315" s="34">
        <f t="shared" si="77"/>
        <v>64340.301100034303</v>
      </c>
      <c r="D315" s="38">
        <f t="shared" si="76"/>
        <v>55.421536199296156</v>
      </c>
      <c r="E315" s="34">
        <f t="shared" si="84"/>
        <v>0</v>
      </c>
      <c r="F315" s="15">
        <f t="shared" si="85"/>
        <v>52731.041322631849</v>
      </c>
      <c r="G315" s="15">
        <f t="shared" si="86"/>
        <v>6591.3801653289811</v>
      </c>
      <c r="H315" s="363">
        <f t="shared" si="80"/>
        <v>10000000.000000015</v>
      </c>
      <c r="I315" s="364"/>
      <c r="J315" s="362">
        <f t="shared" si="74"/>
        <v>64340.301100034303</v>
      </c>
      <c r="K315" s="361"/>
      <c r="L315" s="360">
        <f t="shared" si="78"/>
        <v>20074.173943210702</v>
      </c>
      <c r="M315" s="361"/>
      <c r="N315" s="358">
        <f t="shared" si="75"/>
        <v>10000000</v>
      </c>
      <c r="O315" s="359"/>
      <c r="P315" s="9">
        <f t="shared" si="81"/>
        <v>22</v>
      </c>
      <c r="R315" s="40">
        <f t="shared" si="82"/>
        <v>1160.9259777402456</v>
      </c>
      <c r="S315" s="35">
        <f t="shared" si="79"/>
        <v>180435.27274379329</v>
      </c>
      <c r="T315" s="36">
        <f t="shared" si="83"/>
        <v>64340.301100034303</v>
      </c>
      <c r="V315"/>
      <c r="W315"/>
      <c r="X315" s="9">
        <v>267</v>
      </c>
      <c r="Y315" s="6">
        <v>23</v>
      </c>
    </row>
    <row r="316" spans="1:25" ht="20.25" customHeight="1" x14ac:dyDescent="0.35">
      <c r="A316" s="195" t="s">
        <v>361</v>
      </c>
      <c r="B316" s="63">
        <v>268</v>
      </c>
      <c r="C316" s="39">
        <f t="shared" si="77"/>
        <v>64340.301100034303</v>
      </c>
      <c r="D316" s="38">
        <f t="shared" si="76"/>
        <v>55.778120031945072</v>
      </c>
      <c r="E316" s="39">
        <f t="shared" si="84"/>
        <v>0</v>
      </c>
      <c r="F316" s="40">
        <f t="shared" si="85"/>
        <v>52805.258136380187</v>
      </c>
      <c r="G316" s="40">
        <f t="shared" si="86"/>
        <v>6600.6572670475234</v>
      </c>
      <c r="H316" s="360">
        <f t="shared" si="80"/>
        <v>10000000.000000015</v>
      </c>
      <c r="I316" s="365"/>
      <c r="J316" s="362">
        <f t="shared" si="74"/>
        <v>64340.301100034303</v>
      </c>
      <c r="K316" s="361"/>
      <c r="L316" s="360">
        <f t="shared" si="78"/>
        <v>20074.173943210702</v>
      </c>
      <c r="M316" s="361"/>
      <c r="N316" s="358">
        <f t="shared" si="75"/>
        <v>10000000</v>
      </c>
      <c r="O316" s="359"/>
      <c r="P316" s="9">
        <f t="shared" si="81"/>
        <v>22</v>
      </c>
      <c r="R316" s="40">
        <f t="shared" si="82"/>
        <v>1153.5042963654123</v>
      </c>
      <c r="S316" s="35">
        <f t="shared" si="79"/>
        <v>179281.76844742789</v>
      </c>
      <c r="T316" s="36">
        <f t="shared" si="83"/>
        <v>64340.301100034303</v>
      </c>
      <c r="V316"/>
      <c r="W316"/>
      <c r="X316" s="9">
        <v>268</v>
      </c>
      <c r="Y316" s="6">
        <v>23</v>
      </c>
    </row>
    <row r="317" spans="1:25" ht="20.25" customHeight="1" x14ac:dyDescent="0.35">
      <c r="A317" s="195" t="s">
        <v>360</v>
      </c>
      <c r="B317" s="60">
        <v>269</v>
      </c>
      <c r="C317" s="34">
        <f t="shared" si="77"/>
        <v>64340.301100034303</v>
      </c>
      <c r="D317" s="38">
        <f t="shared" si="76"/>
        <v>56.136998135709995</v>
      </c>
      <c r="E317" s="34">
        <f t="shared" si="84"/>
        <v>0</v>
      </c>
      <c r="F317" s="15">
        <f t="shared" si="85"/>
        <v>52879.000489607461</v>
      </c>
      <c r="G317" s="15">
        <f t="shared" si="86"/>
        <v>6609.8750612009326</v>
      </c>
      <c r="H317" s="363">
        <f t="shared" si="80"/>
        <v>10000000.000000017</v>
      </c>
      <c r="I317" s="364"/>
      <c r="J317" s="362">
        <f t="shared" si="74"/>
        <v>64340.301100034303</v>
      </c>
      <c r="K317" s="361"/>
      <c r="L317" s="360">
        <f t="shared" si="78"/>
        <v>20074.173943210702</v>
      </c>
      <c r="M317" s="361"/>
      <c r="N317" s="358">
        <f t="shared" si="75"/>
        <v>10000000</v>
      </c>
      <c r="O317" s="359"/>
      <c r="P317" s="9">
        <f t="shared" si="81"/>
        <v>22</v>
      </c>
      <c r="R317" s="40">
        <f t="shared" si="82"/>
        <v>1146.1300610426833</v>
      </c>
      <c r="S317" s="35">
        <f t="shared" si="79"/>
        <v>178135.63838638522</v>
      </c>
      <c r="T317" s="36">
        <f t="shared" si="83"/>
        <v>64340.301100034303</v>
      </c>
      <c r="V317"/>
      <c r="W317"/>
      <c r="X317" s="9">
        <v>269</v>
      </c>
      <c r="Y317" s="6">
        <v>23</v>
      </c>
    </row>
    <row r="318" spans="1:25" ht="20.25" customHeight="1" x14ac:dyDescent="0.35">
      <c r="A318" s="195" t="s">
        <v>361</v>
      </c>
      <c r="B318" s="63">
        <v>270</v>
      </c>
      <c r="C318" s="39">
        <f t="shared" si="77"/>
        <v>64340.301100034303</v>
      </c>
      <c r="D318" s="38">
        <f t="shared" si="76"/>
        <v>56.498185272000356</v>
      </c>
      <c r="E318" s="39">
        <f t="shared" si="84"/>
        <v>0</v>
      </c>
      <c r="F318" s="40">
        <f t="shared" si="85"/>
        <v>52952.271415491428</v>
      </c>
      <c r="G318" s="40">
        <f t="shared" si="86"/>
        <v>6619.0339269364285</v>
      </c>
      <c r="H318" s="360">
        <f t="shared" si="80"/>
        <v>10000000.000000017</v>
      </c>
      <c r="I318" s="365"/>
      <c r="J318" s="362">
        <f t="shared" si="74"/>
        <v>64340.301100034303</v>
      </c>
      <c r="K318" s="361"/>
      <c r="L318" s="360">
        <f t="shared" si="78"/>
        <v>20074.173943210702</v>
      </c>
      <c r="M318" s="361"/>
      <c r="N318" s="358">
        <f t="shared" si="75"/>
        <v>10000000</v>
      </c>
      <c r="O318" s="359"/>
      <c r="P318" s="9">
        <f t="shared" si="81"/>
        <v>22</v>
      </c>
      <c r="R318" s="40">
        <f t="shared" si="82"/>
        <v>1138.8029684542873</v>
      </c>
      <c r="S318" s="35">
        <f t="shared" si="79"/>
        <v>176996.83541793094</v>
      </c>
      <c r="T318" s="36">
        <f t="shared" si="83"/>
        <v>64340.301100034303</v>
      </c>
      <c r="V318"/>
      <c r="W318"/>
      <c r="X318" s="9">
        <v>270</v>
      </c>
      <c r="Y318" s="6">
        <v>23</v>
      </c>
    </row>
    <row r="319" spans="1:25" ht="20.25" customHeight="1" x14ac:dyDescent="0.35">
      <c r="A319" s="195" t="s">
        <v>360</v>
      </c>
      <c r="B319" s="60">
        <v>271</v>
      </c>
      <c r="C319" s="34">
        <f t="shared" si="77"/>
        <v>64340.301100034303</v>
      </c>
      <c r="D319" s="38">
        <f t="shared" si="76"/>
        <v>56.861696297200957</v>
      </c>
      <c r="E319" s="34">
        <f t="shared" si="84"/>
        <v>0</v>
      </c>
      <c r="F319" s="15">
        <f t="shared" si="85"/>
        <v>53025.073927818994</v>
      </c>
      <c r="G319" s="15">
        <f t="shared" si="86"/>
        <v>6628.1342409773742</v>
      </c>
      <c r="H319" s="363">
        <f t="shared" si="80"/>
        <v>10000000.000000017</v>
      </c>
      <c r="I319" s="364"/>
      <c r="J319" s="362">
        <f t="shared" si="74"/>
        <v>64340.301100034303</v>
      </c>
      <c r="K319" s="361"/>
      <c r="L319" s="360">
        <f t="shared" si="78"/>
        <v>20074.173943210702</v>
      </c>
      <c r="M319" s="361"/>
      <c r="N319" s="358">
        <f t="shared" si="75"/>
        <v>10000000</v>
      </c>
      <c r="O319" s="359"/>
      <c r="P319" s="9">
        <f t="shared" si="81"/>
        <v>22</v>
      </c>
      <c r="R319" s="40">
        <f t="shared" si="82"/>
        <v>1131.5227172215311</v>
      </c>
      <c r="S319" s="35">
        <f t="shared" si="79"/>
        <v>175865.31270070942</v>
      </c>
      <c r="T319" s="36">
        <f t="shared" si="83"/>
        <v>64340.301100034303</v>
      </c>
      <c r="V319"/>
      <c r="W319"/>
      <c r="X319" s="9">
        <v>271</v>
      </c>
      <c r="Y319" s="6">
        <v>23</v>
      </c>
    </row>
    <row r="320" spans="1:25" ht="20.25" customHeight="1" x14ac:dyDescent="0.35">
      <c r="A320" s="195" t="s">
        <v>361</v>
      </c>
      <c r="B320" s="63">
        <v>272</v>
      </c>
      <c r="C320" s="39">
        <f t="shared" si="77"/>
        <v>64340.301100034303</v>
      </c>
      <c r="D320" s="38">
        <f t="shared" si="76"/>
        <v>57.227546163283016</v>
      </c>
      <c r="E320" s="39">
        <f t="shared" si="84"/>
        <v>0</v>
      </c>
      <c r="F320" s="40">
        <f t="shared" si="85"/>
        <v>53097.411021110245</v>
      </c>
      <c r="G320" s="40">
        <f t="shared" si="86"/>
        <v>6637.1763776387807</v>
      </c>
      <c r="H320" s="360">
        <f t="shared" si="80"/>
        <v>10000000.000000017</v>
      </c>
      <c r="I320" s="365"/>
      <c r="J320" s="362">
        <f t="shared" si="74"/>
        <v>64340.301100034303</v>
      </c>
      <c r="K320" s="361"/>
      <c r="L320" s="360">
        <f t="shared" si="78"/>
        <v>20074.173943210702</v>
      </c>
      <c r="M320" s="361"/>
      <c r="N320" s="358">
        <f t="shared" si="75"/>
        <v>10000000</v>
      </c>
      <c r="O320" s="359"/>
      <c r="P320" s="9">
        <f t="shared" si="81"/>
        <v>22</v>
      </c>
      <c r="R320" s="40">
        <f t="shared" si="82"/>
        <v>1124.2890078924056</v>
      </c>
      <c r="S320" s="35">
        <f t="shared" si="79"/>
        <v>174741.02369281702</v>
      </c>
      <c r="T320" s="36">
        <f t="shared" si="83"/>
        <v>64340.301100034303</v>
      </c>
      <c r="V320"/>
      <c r="W320"/>
      <c r="X320" s="9">
        <v>272</v>
      </c>
      <c r="Y320" s="6">
        <v>23</v>
      </c>
    </row>
    <row r="321" spans="1:25" ht="20.25" customHeight="1" x14ac:dyDescent="0.35">
      <c r="A321" s="195" t="s">
        <v>360</v>
      </c>
      <c r="B321" s="60">
        <v>273</v>
      </c>
      <c r="C321" s="34">
        <f t="shared" si="77"/>
        <v>64340.301100034303</v>
      </c>
      <c r="D321" s="38">
        <f t="shared" si="76"/>
        <v>57.595749918419187</v>
      </c>
      <c r="E321" s="34">
        <f t="shared" si="84"/>
        <v>0</v>
      </c>
      <c r="F321" s="15">
        <f t="shared" si="85"/>
        <v>53169.285670741629</v>
      </c>
      <c r="G321" s="15">
        <f t="shared" si="86"/>
        <v>6646.1607088427036</v>
      </c>
      <c r="H321" s="363">
        <f t="shared" si="80"/>
        <v>10000000.000000017</v>
      </c>
      <c r="I321" s="364"/>
      <c r="J321" s="362">
        <f t="shared" si="74"/>
        <v>64340.301100034303</v>
      </c>
      <c r="K321" s="361"/>
      <c r="L321" s="360">
        <f t="shared" si="78"/>
        <v>20074.173943210702</v>
      </c>
      <c r="M321" s="361"/>
      <c r="N321" s="358">
        <f t="shared" si="75"/>
        <v>10000000</v>
      </c>
      <c r="O321" s="359"/>
      <c r="P321" s="9">
        <f t="shared" si="81"/>
        <v>22</v>
      </c>
      <c r="R321" s="40">
        <f t="shared" si="82"/>
        <v>1117.1015429292675</v>
      </c>
      <c r="S321" s="35">
        <f t="shared" si="79"/>
        <v>173623.92214988775</v>
      </c>
      <c r="T321" s="36">
        <f t="shared" si="83"/>
        <v>64340.301100034303</v>
      </c>
      <c r="V321"/>
      <c r="W321"/>
      <c r="X321" s="9">
        <v>273</v>
      </c>
      <c r="Y321" s="6">
        <v>23</v>
      </c>
    </row>
    <row r="322" spans="1:25" ht="20.25" customHeight="1" x14ac:dyDescent="0.35">
      <c r="A322" s="195" t="s">
        <v>361</v>
      </c>
      <c r="B322" s="63">
        <v>274</v>
      </c>
      <c r="C322" s="39">
        <f t="shared" si="77"/>
        <v>64340.301100034303</v>
      </c>
      <c r="D322" s="38">
        <f t="shared" si="76"/>
        <v>57.966322707602522</v>
      </c>
      <c r="E322" s="39">
        <f t="shared" si="84"/>
        <v>0</v>
      </c>
      <c r="F322" s="40">
        <f t="shared" si="85"/>
        <v>53240.700833068287</v>
      </c>
      <c r="G322" s="40">
        <f t="shared" si="86"/>
        <v>6655.0876041335359</v>
      </c>
      <c r="H322" s="360">
        <f t="shared" si="80"/>
        <v>10000000.000000015</v>
      </c>
      <c r="I322" s="365"/>
      <c r="J322" s="362">
        <f t="shared" si="74"/>
        <v>64340.301100034303</v>
      </c>
      <c r="K322" s="361"/>
      <c r="L322" s="360">
        <f t="shared" si="78"/>
        <v>20074.173943210702</v>
      </c>
      <c r="M322" s="361"/>
      <c r="N322" s="358">
        <f t="shared" si="75"/>
        <v>10000000</v>
      </c>
      <c r="O322" s="359"/>
      <c r="P322" s="9">
        <f t="shared" si="81"/>
        <v>22</v>
      </c>
      <c r="R322" s="40">
        <f t="shared" si="82"/>
        <v>1109.9600266966013</v>
      </c>
      <c r="S322" s="35">
        <f t="shared" si="79"/>
        <v>172513.96212319113</v>
      </c>
      <c r="T322" s="36">
        <f t="shared" si="83"/>
        <v>64340.301100034303</v>
      </c>
      <c r="V322"/>
      <c r="W322"/>
      <c r="X322" s="9">
        <v>274</v>
      </c>
      <c r="Y322" s="6">
        <v>23</v>
      </c>
    </row>
    <row r="323" spans="1:25" ht="20.25" customHeight="1" x14ac:dyDescent="0.35">
      <c r="A323" s="195" t="s">
        <v>360</v>
      </c>
      <c r="B323" s="60">
        <v>275</v>
      </c>
      <c r="C323" s="34">
        <f t="shared" si="77"/>
        <v>64340.301100034303</v>
      </c>
      <c r="D323" s="38">
        <f t="shared" si="76"/>
        <v>58.339279773269411</v>
      </c>
      <c r="E323" s="34">
        <f t="shared" si="84"/>
        <v>0</v>
      </c>
      <c r="F323" s="15">
        <f t="shared" si="85"/>
        <v>53311.659445545709</v>
      </c>
      <c r="G323" s="15">
        <f t="shared" si="86"/>
        <v>6663.9574306932136</v>
      </c>
      <c r="H323" s="363">
        <f t="shared" si="80"/>
        <v>10000000.000000017</v>
      </c>
      <c r="I323" s="364"/>
      <c r="J323" s="362">
        <f t="shared" si="74"/>
        <v>64340.301100034303</v>
      </c>
      <c r="K323" s="361"/>
      <c r="L323" s="360">
        <f t="shared" si="78"/>
        <v>20074.173943210702</v>
      </c>
      <c r="M323" s="361"/>
      <c r="N323" s="358">
        <f t="shared" si="75"/>
        <v>10000000</v>
      </c>
      <c r="O323" s="359"/>
      <c r="P323" s="9">
        <f t="shared" si="81"/>
        <v>22</v>
      </c>
      <c r="R323" s="40">
        <f t="shared" si="82"/>
        <v>1102.8641654488597</v>
      </c>
      <c r="S323" s="35">
        <f t="shared" si="79"/>
        <v>171411.09795774228</v>
      </c>
      <c r="T323" s="36">
        <f t="shared" si="83"/>
        <v>64340.301100034303</v>
      </c>
      <c r="V323"/>
      <c r="W323"/>
      <c r="X323" s="9">
        <v>275</v>
      </c>
      <c r="Y323" s="6">
        <v>23</v>
      </c>
    </row>
    <row r="324" spans="1:25" ht="20.25" customHeight="1" x14ac:dyDescent="0.35">
      <c r="A324" s="195" t="s">
        <v>361</v>
      </c>
      <c r="B324" s="63">
        <v>276</v>
      </c>
      <c r="C324" s="39">
        <f t="shared" si="77"/>
        <v>64340.301100034303</v>
      </c>
      <c r="D324" s="38">
        <f t="shared" si="76"/>
        <v>58.714636455926538</v>
      </c>
      <c r="E324" s="39">
        <f t="shared" si="84"/>
        <v>0</v>
      </c>
      <c r="F324" s="40">
        <f t="shared" si="85"/>
        <v>53382.164426850504</v>
      </c>
      <c r="G324" s="40">
        <f t="shared" si="86"/>
        <v>6672.770553356313</v>
      </c>
      <c r="H324" s="360">
        <f t="shared" si="80"/>
        <v>10000000.000000017</v>
      </c>
      <c r="I324" s="365"/>
      <c r="J324" s="362">
        <f t="shared" si="74"/>
        <v>64340.301100034303</v>
      </c>
      <c r="K324" s="361"/>
      <c r="L324" s="360">
        <f t="shared" si="78"/>
        <v>20074.173943210702</v>
      </c>
      <c r="M324" s="361"/>
      <c r="N324" s="358">
        <f t="shared" si="75"/>
        <v>10000000</v>
      </c>
      <c r="O324" s="359"/>
      <c r="P324" s="9">
        <f t="shared" si="81"/>
        <v>22</v>
      </c>
      <c r="R324" s="40">
        <f t="shared" si="82"/>
        <v>1095.8136673183799</v>
      </c>
      <c r="S324" s="35">
        <f t="shared" si="79"/>
        <v>170315.28429042391</v>
      </c>
      <c r="T324" s="36">
        <f t="shared" si="83"/>
        <v>64340.301100034303</v>
      </c>
      <c r="V324"/>
      <c r="W324"/>
      <c r="X324" s="9">
        <v>276</v>
      </c>
      <c r="Y324" s="6">
        <v>23</v>
      </c>
    </row>
    <row r="325" spans="1:25" ht="20.25" customHeight="1" x14ac:dyDescent="0.35">
      <c r="A325" s="195" t="s">
        <v>360</v>
      </c>
      <c r="B325" s="60">
        <v>277</v>
      </c>
      <c r="C325" s="34">
        <f t="shared" si="77"/>
        <v>64340.301100034303</v>
      </c>
      <c r="D325" s="38">
        <f t="shared" si="76"/>
        <v>59.092408194781875</v>
      </c>
      <c r="E325" s="34">
        <f t="shared" si="84"/>
        <v>0</v>
      </c>
      <c r="F325" s="15">
        <f t="shared" si="85"/>
        <v>53452.218677000499</v>
      </c>
      <c r="G325" s="15">
        <f t="shared" si="86"/>
        <v>6681.5273346250624</v>
      </c>
      <c r="H325" s="363">
        <f t="shared" si="80"/>
        <v>10000000.000000017</v>
      </c>
      <c r="I325" s="364"/>
      <c r="J325" s="362">
        <f t="shared" si="74"/>
        <v>64340.301100034303</v>
      </c>
      <c r="K325" s="361"/>
      <c r="L325" s="360">
        <f t="shared" si="78"/>
        <v>20074.173943210702</v>
      </c>
      <c r="M325" s="361"/>
      <c r="N325" s="358">
        <f t="shared" si="75"/>
        <v>10000000</v>
      </c>
      <c r="O325" s="359"/>
      <c r="P325" s="9">
        <f t="shared" si="81"/>
        <v>23</v>
      </c>
      <c r="R325" s="40">
        <f t="shared" si="82"/>
        <v>1088.80824230338</v>
      </c>
      <c r="S325" s="35">
        <f t="shared" si="79"/>
        <v>169226.47604812053</v>
      </c>
      <c r="T325" s="36">
        <f t="shared" si="83"/>
        <v>64340.301100034303</v>
      </c>
      <c r="V325"/>
      <c r="W325"/>
      <c r="X325" s="9">
        <v>277</v>
      </c>
      <c r="Y325" s="6">
        <v>24</v>
      </c>
    </row>
    <row r="326" spans="1:25" ht="20.25" customHeight="1" x14ac:dyDescent="0.35">
      <c r="A326" s="195" t="s">
        <v>361</v>
      </c>
      <c r="B326" s="63">
        <v>278</v>
      </c>
      <c r="C326" s="39">
        <f t="shared" si="77"/>
        <v>64340.301100034303</v>
      </c>
      <c r="D326" s="38">
        <f t="shared" si="76"/>
        <v>59.472610528379718</v>
      </c>
      <c r="E326" s="39">
        <f t="shared" si="84"/>
        <v>0</v>
      </c>
      <c r="F326" s="40">
        <f t="shared" si="85"/>
        <v>53521.825077474008</v>
      </c>
      <c r="G326" s="40">
        <f t="shared" si="86"/>
        <v>6690.228134684251</v>
      </c>
      <c r="H326" s="360">
        <f t="shared" si="80"/>
        <v>10000000.000000017</v>
      </c>
      <c r="I326" s="365"/>
      <c r="J326" s="362">
        <f t="shared" si="74"/>
        <v>64340.301100034303</v>
      </c>
      <c r="K326" s="361"/>
      <c r="L326" s="360">
        <f t="shared" si="78"/>
        <v>20074.173943210702</v>
      </c>
      <c r="M326" s="361"/>
      <c r="N326" s="358">
        <f t="shared" si="75"/>
        <v>10000000</v>
      </c>
      <c r="O326" s="359"/>
      <c r="P326" s="9">
        <f t="shared" si="81"/>
        <v>23</v>
      </c>
      <c r="R326" s="40">
        <f t="shared" si="82"/>
        <v>1081.8476022560296</v>
      </c>
      <c r="S326" s="35">
        <f t="shared" si="79"/>
        <v>168144.62844586451</v>
      </c>
      <c r="T326" s="36">
        <f t="shared" si="83"/>
        <v>64340.301100034303</v>
      </c>
      <c r="V326"/>
      <c r="W326"/>
      <c r="X326" s="9">
        <v>278</v>
      </c>
      <c r="Y326" s="6">
        <v>24</v>
      </c>
    </row>
    <row r="327" spans="1:25" ht="20.25" customHeight="1" x14ac:dyDescent="0.35">
      <c r="A327" s="195" t="s">
        <v>360</v>
      </c>
      <c r="B327" s="60">
        <v>279</v>
      </c>
      <c r="C327" s="34">
        <f t="shared" si="77"/>
        <v>64340.301100034303</v>
      </c>
      <c r="D327" s="38">
        <f t="shared" si="76"/>
        <v>59.855259095239823</v>
      </c>
      <c r="E327" s="34">
        <f t="shared" si="84"/>
        <v>0</v>
      </c>
      <c r="F327" s="15">
        <f t="shared" si="85"/>
        <v>53590.986491328316</v>
      </c>
      <c r="G327" s="15">
        <f t="shared" si="86"/>
        <v>6698.8733114160395</v>
      </c>
      <c r="H327" s="363">
        <f t="shared" si="80"/>
        <v>10000000.000000019</v>
      </c>
      <c r="I327" s="364"/>
      <c r="J327" s="362">
        <f t="shared" si="74"/>
        <v>64340.301100034303</v>
      </c>
      <c r="K327" s="361"/>
      <c r="L327" s="360">
        <f t="shared" si="78"/>
        <v>20074.173943210702</v>
      </c>
      <c r="M327" s="361"/>
      <c r="N327" s="358">
        <f t="shared" si="75"/>
        <v>10000000</v>
      </c>
      <c r="O327" s="359"/>
      <c r="P327" s="9">
        <f t="shared" si="81"/>
        <v>23</v>
      </c>
      <c r="R327" s="40">
        <f t="shared" si="82"/>
        <v>1074.9314608705981</v>
      </c>
      <c r="S327" s="35">
        <f t="shared" si="79"/>
        <v>167069.69698499391</v>
      </c>
      <c r="T327" s="36">
        <f t="shared" si="83"/>
        <v>64340.301100034303</v>
      </c>
      <c r="V327"/>
      <c r="W327"/>
      <c r="X327" s="9">
        <v>279</v>
      </c>
      <c r="Y327" s="6">
        <v>24</v>
      </c>
    </row>
    <row r="328" spans="1:25" ht="20.25" customHeight="1" x14ac:dyDescent="0.35">
      <c r="A328" s="195" t="s">
        <v>361</v>
      </c>
      <c r="B328" s="63">
        <v>280</v>
      </c>
      <c r="C328" s="39">
        <f t="shared" si="77"/>
        <v>64340.301100034303</v>
      </c>
      <c r="D328" s="38">
        <f t="shared" si="76"/>
        <v>60.240369634500652</v>
      </c>
      <c r="E328" s="39">
        <f t="shared" si="84"/>
        <v>0</v>
      </c>
      <c r="F328" s="40">
        <f t="shared" si="85"/>
        <v>53659.705763317514</v>
      </c>
      <c r="G328" s="40">
        <f t="shared" si="86"/>
        <v>6707.4632204146892</v>
      </c>
      <c r="H328" s="360">
        <f t="shared" si="80"/>
        <v>10000000.000000017</v>
      </c>
      <c r="I328" s="365"/>
      <c r="J328" s="362">
        <f t="shared" si="74"/>
        <v>64340.301100034303</v>
      </c>
      <c r="K328" s="361"/>
      <c r="L328" s="360">
        <f t="shared" si="78"/>
        <v>20074.173943210702</v>
      </c>
      <c r="M328" s="361"/>
      <c r="N328" s="358">
        <f t="shared" si="75"/>
        <v>10000000</v>
      </c>
      <c r="O328" s="359"/>
      <c r="P328" s="9">
        <f t="shared" si="81"/>
        <v>23</v>
      </c>
      <c r="R328" s="40">
        <f t="shared" si="82"/>
        <v>1068.0595336716783</v>
      </c>
      <c r="S328" s="35">
        <f t="shared" si="79"/>
        <v>166001.63745132223</v>
      </c>
      <c r="T328" s="36">
        <f t="shared" si="83"/>
        <v>64340.301100034303</v>
      </c>
      <c r="V328"/>
      <c r="W328"/>
      <c r="X328" s="9">
        <v>280</v>
      </c>
      <c r="Y328" s="6">
        <v>24</v>
      </c>
    </row>
    <row r="329" spans="1:25" ht="20.25" customHeight="1" x14ac:dyDescent="0.35">
      <c r="A329" s="195" t="s">
        <v>360</v>
      </c>
      <c r="B329" s="60">
        <v>281</v>
      </c>
      <c r="C329" s="34">
        <f t="shared" si="77"/>
        <v>64340.301100034303</v>
      </c>
      <c r="D329" s="38">
        <f t="shared" si="76"/>
        <v>60.627957986566763</v>
      </c>
      <c r="E329" s="34">
        <f t="shared" si="84"/>
        <v>0</v>
      </c>
      <c r="F329" s="15">
        <f t="shared" si="85"/>
        <v>53727.985720009448</v>
      </c>
      <c r="G329" s="15">
        <f t="shared" si="86"/>
        <v>6715.9982150011811</v>
      </c>
      <c r="H329" s="363">
        <f t="shared" si="80"/>
        <v>10000000.000000017</v>
      </c>
      <c r="I329" s="364"/>
      <c r="J329" s="362">
        <f t="shared" si="74"/>
        <v>64340.301100034303</v>
      </c>
      <c r="K329" s="361"/>
      <c r="L329" s="360">
        <f t="shared" si="78"/>
        <v>20074.173943210702</v>
      </c>
      <c r="M329" s="361"/>
      <c r="N329" s="358">
        <f t="shared" si="75"/>
        <v>10000000</v>
      </c>
      <c r="O329" s="359"/>
      <c r="P329" s="9">
        <f t="shared" si="81"/>
        <v>23</v>
      </c>
      <c r="R329" s="40">
        <f t="shared" si="82"/>
        <v>1061.2315380024852</v>
      </c>
      <c r="S329" s="35">
        <f t="shared" si="79"/>
        <v>164940.40591331973</v>
      </c>
      <c r="T329" s="36">
        <f t="shared" si="83"/>
        <v>64340.301100034303</v>
      </c>
      <c r="V329"/>
      <c r="W329"/>
      <c r="X329" s="9">
        <v>281</v>
      </c>
      <c r="Y329" s="6">
        <v>24</v>
      </c>
    </row>
    <row r="330" spans="1:25" ht="20.25" customHeight="1" x14ac:dyDescent="0.35">
      <c r="A330" s="195" t="s">
        <v>361</v>
      </c>
      <c r="B330" s="63">
        <v>282</v>
      </c>
      <c r="C330" s="39">
        <f t="shared" si="77"/>
        <v>64340.301100034303</v>
      </c>
      <c r="D330" s="38">
        <f t="shared" si="76"/>
        <v>61.018040093760355</v>
      </c>
      <c r="E330" s="39">
        <f t="shared" si="84"/>
        <v>0</v>
      </c>
      <c r="F330" s="40">
        <f t="shared" si="85"/>
        <v>53795.829169902005</v>
      </c>
      <c r="G330" s="40">
        <f t="shared" si="86"/>
        <v>6724.4786462377506</v>
      </c>
      <c r="H330" s="360">
        <f t="shared" si="80"/>
        <v>10000000.000000015</v>
      </c>
      <c r="I330" s="365"/>
      <c r="J330" s="362">
        <f t="shared" si="74"/>
        <v>64340.301100034303</v>
      </c>
      <c r="K330" s="361"/>
      <c r="L330" s="360">
        <f t="shared" si="78"/>
        <v>20074.173943210702</v>
      </c>
      <c r="M330" s="361"/>
      <c r="N330" s="358">
        <f t="shared" si="75"/>
        <v>10000000</v>
      </c>
      <c r="O330" s="359"/>
      <c r="P330" s="9">
        <f t="shared" si="81"/>
        <v>23</v>
      </c>
      <c r="R330" s="40">
        <f t="shared" si="82"/>
        <v>1054.4471930132295</v>
      </c>
      <c r="S330" s="35">
        <f t="shared" si="79"/>
        <v>163885.95872030649</v>
      </c>
      <c r="T330" s="36">
        <f t="shared" si="83"/>
        <v>64340.301100034303</v>
      </c>
      <c r="V330"/>
      <c r="W330"/>
      <c r="X330" s="9">
        <v>282</v>
      </c>
      <c r="Y330" s="6">
        <v>24</v>
      </c>
    </row>
    <row r="331" spans="1:25" ht="20.25" customHeight="1" x14ac:dyDescent="0.35">
      <c r="A331" s="195" t="s">
        <v>360</v>
      </c>
      <c r="B331" s="60">
        <v>283</v>
      </c>
      <c r="C331" s="34">
        <f t="shared" si="77"/>
        <v>64340.301100034303</v>
      </c>
      <c r="D331" s="38">
        <f t="shared" si="76"/>
        <v>61.410632000977003</v>
      </c>
      <c r="E331" s="34">
        <f t="shared" si="84"/>
        <v>0</v>
      </c>
      <c r="F331" s="15">
        <f t="shared" si="85"/>
        <v>53863.238903538644</v>
      </c>
      <c r="G331" s="15">
        <f t="shared" si="86"/>
        <v>6732.9048629423305</v>
      </c>
      <c r="H331" s="363">
        <f t="shared" si="80"/>
        <v>10000000.000000017</v>
      </c>
      <c r="I331" s="364"/>
      <c r="J331" s="362">
        <f t="shared" si="74"/>
        <v>64340.301100034303</v>
      </c>
      <c r="K331" s="361"/>
      <c r="L331" s="360">
        <f t="shared" si="78"/>
        <v>20074.173943210702</v>
      </c>
      <c r="M331" s="361"/>
      <c r="N331" s="358">
        <f t="shared" si="75"/>
        <v>10000000</v>
      </c>
      <c r="O331" s="359"/>
      <c r="P331" s="9">
        <f t="shared" si="81"/>
        <v>23</v>
      </c>
      <c r="R331" s="40">
        <f t="shared" si="82"/>
        <v>1047.7062196495665</v>
      </c>
      <c r="S331" s="35">
        <f t="shared" si="79"/>
        <v>162838.25250065693</v>
      </c>
      <c r="T331" s="36">
        <f t="shared" si="83"/>
        <v>64340.301100034303</v>
      </c>
      <c r="V331"/>
      <c r="W331"/>
      <c r="X331" s="9">
        <v>283</v>
      </c>
      <c r="Y331" s="6">
        <v>24</v>
      </c>
    </row>
    <row r="332" spans="1:25" ht="20.25" customHeight="1" x14ac:dyDescent="0.35">
      <c r="A332" s="195" t="s">
        <v>361</v>
      </c>
      <c r="B332" s="63">
        <v>284</v>
      </c>
      <c r="C332" s="39">
        <f t="shared" si="77"/>
        <v>64340.301100034303</v>
      </c>
      <c r="D332" s="38">
        <f t="shared" si="76"/>
        <v>61.805749856345628</v>
      </c>
      <c r="E332" s="39">
        <f t="shared" si="84"/>
        <v>0</v>
      </c>
      <c r="F332" s="40">
        <f t="shared" si="85"/>
        <v>53930.217693623134</v>
      </c>
      <c r="G332" s="40">
        <f t="shared" si="86"/>
        <v>6741.2772117028917</v>
      </c>
      <c r="H332" s="360">
        <f t="shared" si="80"/>
        <v>10000000.000000015</v>
      </c>
      <c r="I332" s="365"/>
      <c r="J332" s="362">
        <f t="shared" si="74"/>
        <v>64340.301100034303</v>
      </c>
      <c r="K332" s="361"/>
      <c r="L332" s="360">
        <f t="shared" si="78"/>
        <v>20074.173943210702</v>
      </c>
      <c r="M332" s="361"/>
      <c r="N332" s="358">
        <f t="shared" si="75"/>
        <v>10000000</v>
      </c>
      <c r="O332" s="359"/>
      <c r="P332" s="9">
        <f t="shared" si="81"/>
        <v>23</v>
      </c>
      <c r="R332" s="40">
        <f t="shared" si="82"/>
        <v>1041.0083406411168</v>
      </c>
      <c r="S332" s="35">
        <f t="shared" si="79"/>
        <v>161797.24416001581</v>
      </c>
      <c r="T332" s="36">
        <f t="shared" si="83"/>
        <v>64340.301100034303</v>
      </c>
      <c r="V332"/>
      <c r="W332"/>
      <c r="X332" s="9">
        <v>284</v>
      </c>
      <c r="Y332" s="6">
        <v>24</v>
      </c>
    </row>
    <row r="333" spans="1:25" ht="20.25" customHeight="1" x14ac:dyDescent="0.35">
      <c r="A333" s="195" t="s">
        <v>360</v>
      </c>
      <c r="B333" s="60">
        <v>285</v>
      </c>
      <c r="C333" s="34">
        <f t="shared" si="77"/>
        <v>64340.301100034303</v>
      </c>
      <c r="D333" s="38">
        <f t="shared" si="76"/>
        <v>62.203409911892699</v>
      </c>
      <c r="E333" s="34">
        <f t="shared" si="84"/>
        <v>0</v>
      </c>
      <c r="F333" s="15">
        <f t="shared" si="85"/>
        <v>53996.768295133676</v>
      </c>
      <c r="G333" s="15">
        <f t="shared" si="86"/>
        <v>6749.5960368917094</v>
      </c>
      <c r="H333" s="363">
        <f t="shared" si="80"/>
        <v>10000000.000000017</v>
      </c>
      <c r="I333" s="364"/>
      <c r="J333" s="362">
        <f t="shared" si="74"/>
        <v>64340.301100034303</v>
      </c>
      <c r="K333" s="361"/>
      <c r="L333" s="360">
        <f t="shared" si="78"/>
        <v>20074.173943210702</v>
      </c>
      <c r="M333" s="361"/>
      <c r="N333" s="358">
        <f t="shared" si="75"/>
        <v>10000000</v>
      </c>
      <c r="O333" s="359"/>
      <c r="P333" s="9">
        <f t="shared" si="81"/>
        <v>23</v>
      </c>
      <c r="R333" s="40">
        <f t="shared" si="82"/>
        <v>1034.3532804900628</v>
      </c>
      <c r="S333" s="35">
        <f t="shared" si="79"/>
        <v>160762.89087952574</v>
      </c>
      <c r="T333" s="36">
        <f t="shared" si="83"/>
        <v>64340.301100034303</v>
      </c>
      <c r="V333"/>
      <c r="W333"/>
      <c r="X333" s="9">
        <v>285</v>
      </c>
      <c r="Y333" s="6">
        <v>24</v>
      </c>
    </row>
    <row r="334" spans="1:25" ht="20.25" customHeight="1" x14ac:dyDescent="0.35">
      <c r="A334" s="195" t="s">
        <v>361</v>
      </c>
      <c r="B334" s="63">
        <v>286</v>
      </c>
      <c r="C334" s="39">
        <f t="shared" si="77"/>
        <v>64340.301100034303</v>
      </c>
      <c r="D334" s="38">
        <f t="shared" si="76"/>
        <v>62.603628524210706</v>
      </c>
      <c r="E334" s="39">
        <f t="shared" si="84"/>
        <v>0</v>
      </c>
      <c r="F334" s="40">
        <f t="shared" si="85"/>
        <v>54062.893445436144</v>
      </c>
      <c r="G334" s="40">
        <f t="shared" si="86"/>
        <v>6757.861680679518</v>
      </c>
      <c r="H334" s="360">
        <f t="shared" si="80"/>
        <v>10000000.000000017</v>
      </c>
      <c r="I334" s="365"/>
      <c r="J334" s="362">
        <f t="shared" si="74"/>
        <v>64340.301100034303</v>
      </c>
      <c r="K334" s="361"/>
      <c r="L334" s="360">
        <f t="shared" si="78"/>
        <v>20074.173943210702</v>
      </c>
      <c r="M334" s="361"/>
      <c r="N334" s="358">
        <f t="shared" si="75"/>
        <v>10000000</v>
      </c>
      <c r="O334" s="359"/>
      <c r="P334" s="9">
        <f t="shared" si="81"/>
        <v>23</v>
      </c>
      <c r="R334" s="40">
        <f t="shared" si="82"/>
        <v>1027.7407654598164</v>
      </c>
      <c r="S334" s="35">
        <f t="shared" si="79"/>
        <v>159735.15011406594</v>
      </c>
      <c r="T334" s="36">
        <f t="shared" si="83"/>
        <v>64340.301100034303</v>
      </c>
      <c r="V334"/>
      <c r="W334"/>
      <c r="X334" s="9">
        <v>286</v>
      </c>
      <c r="Y334" s="6">
        <v>24</v>
      </c>
    </row>
    <row r="335" spans="1:25" ht="20.25" customHeight="1" x14ac:dyDescent="0.35">
      <c r="A335" s="195" t="s">
        <v>360</v>
      </c>
      <c r="B335" s="60">
        <v>287</v>
      </c>
      <c r="C335" s="34">
        <f t="shared" si="77"/>
        <v>64340.301100034303</v>
      </c>
      <c r="D335" s="38">
        <f t="shared" si="76"/>
        <v>63.006422155130949</v>
      </c>
      <c r="E335" s="34">
        <f t="shared" si="84"/>
        <v>0</v>
      </c>
      <c r="F335" s="15">
        <f t="shared" si="85"/>
        <v>54128.595864396717</v>
      </c>
      <c r="G335" s="15">
        <f t="shared" si="86"/>
        <v>6766.0744830495896</v>
      </c>
      <c r="H335" s="363">
        <f t="shared" si="80"/>
        <v>10000000.000000019</v>
      </c>
      <c r="I335" s="364"/>
      <c r="J335" s="362">
        <f t="shared" si="74"/>
        <v>64340.301100034303</v>
      </c>
      <c r="K335" s="361"/>
      <c r="L335" s="360">
        <f t="shared" si="78"/>
        <v>20074.173943210702</v>
      </c>
      <c r="M335" s="361"/>
      <c r="N335" s="358">
        <f t="shared" si="75"/>
        <v>10000000</v>
      </c>
      <c r="O335" s="359"/>
      <c r="P335" s="9">
        <f t="shared" si="81"/>
        <v>23</v>
      </c>
      <c r="R335" s="40">
        <f t="shared" si="82"/>
        <v>1021.1705235637592</v>
      </c>
      <c r="S335" s="35">
        <f t="shared" si="79"/>
        <v>158713.97959050219</v>
      </c>
      <c r="T335" s="36">
        <f t="shared" si="83"/>
        <v>64340.301100034303</v>
      </c>
      <c r="V335"/>
      <c r="W335"/>
      <c r="X335" s="9">
        <v>287</v>
      </c>
      <c r="Y335" s="6">
        <v>24</v>
      </c>
    </row>
    <row r="336" spans="1:25" ht="20.25" customHeight="1" x14ac:dyDescent="0.35">
      <c r="A336" s="195" t="s">
        <v>361</v>
      </c>
      <c r="B336" s="63">
        <v>288</v>
      </c>
      <c r="C336" s="39">
        <f t="shared" si="77"/>
        <v>64340.301100034303</v>
      </c>
      <c r="D336" s="38">
        <f t="shared" si="76"/>
        <v>63.411807372400645</v>
      </c>
      <c r="E336" s="39">
        <f t="shared" si="84"/>
        <v>0</v>
      </c>
      <c r="F336" s="40">
        <f t="shared" si="85"/>
        <v>54193.878254493742</v>
      </c>
      <c r="G336" s="40">
        <f t="shared" si="86"/>
        <v>6774.2347818117178</v>
      </c>
      <c r="H336" s="360">
        <f t="shared" si="80"/>
        <v>10000000.000000019</v>
      </c>
      <c r="I336" s="365"/>
      <c r="J336" s="362">
        <f t="shared" si="74"/>
        <v>64340.301100034303</v>
      </c>
      <c r="K336" s="361"/>
      <c r="L336" s="360">
        <f t="shared" si="78"/>
        <v>20074.173943210702</v>
      </c>
      <c r="M336" s="361"/>
      <c r="N336" s="358">
        <f t="shared" si="75"/>
        <v>10000000</v>
      </c>
      <c r="O336" s="359"/>
      <c r="P336" s="9">
        <f t="shared" si="81"/>
        <v>23</v>
      </c>
      <c r="R336" s="40">
        <f t="shared" si="82"/>
        <v>1014.6422845540557</v>
      </c>
      <c r="S336" s="35">
        <f t="shared" si="79"/>
        <v>157699.33730594814</v>
      </c>
      <c r="T336" s="36">
        <f t="shared" si="83"/>
        <v>64340.301100034303</v>
      </c>
      <c r="V336"/>
      <c r="W336"/>
      <c r="X336" s="9">
        <v>288</v>
      </c>
      <c r="Y336" s="6">
        <v>24</v>
      </c>
    </row>
    <row r="337" spans="1:25" ht="20.25" customHeight="1" x14ac:dyDescent="0.35">
      <c r="A337" s="195" t="s">
        <v>360</v>
      </c>
      <c r="B337" s="60">
        <v>289</v>
      </c>
      <c r="C337" s="34">
        <f t="shared" si="77"/>
        <v>64340.301100034303</v>
      </c>
      <c r="D337" s="38">
        <f t="shared" si="76"/>
        <v>63.819800850364409</v>
      </c>
      <c r="E337" s="34">
        <f t="shared" si="84"/>
        <v>0</v>
      </c>
      <c r="F337" s="15">
        <f t="shared" si="85"/>
        <v>54258.743300928931</v>
      </c>
      <c r="G337" s="15">
        <f t="shared" si="86"/>
        <v>6782.3429126161163</v>
      </c>
      <c r="H337" s="363">
        <f t="shared" si="80"/>
        <v>10000000.000000019</v>
      </c>
      <c r="I337" s="364"/>
      <c r="J337" s="362">
        <f t="shared" ref="J337:J348" si="87">$H$5*((1+$H$7)^(1/12)-1)</f>
        <v>64340.301100034303</v>
      </c>
      <c r="K337" s="361"/>
      <c r="L337" s="360">
        <f t="shared" si="78"/>
        <v>20074.173943210702</v>
      </c>
      <c r="M337" s="361"/>
      <c r="N337" s="358">
        <f t="shared" ref="N337:N348" si="88">$H$5</f>
        <v>10000000</v>
      </c>
      <c r="O337" s="359"/>
      <c r="P337" s="9">
        <f t="shared" si="81"/>
        <v>24</v>
      </c>
      <c r="R337" s="40">
        <f t="shared" si="82"/>
        <v>1008.1557799105373</v>
      </c>
      <c r="S337" s="35">
        <f t="shared" si="79"/>
        <v>156691.1815260376</v>
      </c>
      <c r="T337" s="36">
        <f t="shared" si="83"/>
        <v>64340.301100034303</v>
      </c>
      <c r="V337"/>
      <c r="W337"/>
      <c r="X337" s="9">
        <v>289</v>
      </c>
      <c r="Y337" s="6">
        <v>25</v>
      </c>
    </row>
    <row r="338" spans="1:25" ht="20.25" customHeight="1" x14ac:dyDescent="0.35">
      <c r="A338" s="195" t="s">
        <v>361</v>
      </c>
      <c r="B338" s="63">
        <v>290</v>
      </c>
      <c r="C338" s="39">
        <f t="shared" si="77"/>
        <v>64340.301100034303</v>
      </c>
      <c r="D338" s="38">
        <f t="shared" ref="D338:D348" si="89">D337*(1+(1+$H$6)^(1/12)-1)</f>
        <v>64.230419370650083</v>
      </c>
      <c r="E338" s="39">
        <f t="shared" si="84"/>
        <v>0</v>
      </c>
      <c r="F338" s="40">
        <f t="shared" si="85"/>
        <v>54323.193671737732</v>
      </c>
      <c r="G338" s="40">
        <f t="shared" si="86"/>
        <v>6790.3992089672165</v>
      </c>
      <c r="H338" s="360">
        <f t="shared" si="80"/>
        <v>10000000.00000002</v>
      </c>
      <c r="I338" s="365"/>
      <c r="J338" s="362">
        <f t="shared" si="87"/>
        <v>64340.301100034303</v>
      </c>
      <c r="K338" s="361"/>
      <c r="L338" s="360">
        <f t="shared" si="78"/>
        <v>20074.173943210702</v>
      </c>
      <c r="M338" s="361"/>
      <c r="N338" s="358">
        <f t="shared" si="88"/>
        <v>10000000</v>
      </c>
      <c r="O338" s="359"/>
      <c r="P338" s="9">
        <f t="shared" si="81"/>
        <v>24</v>
      </c>
      <c r="R338" s="40">
        <f t="shared" si="82"/>
        <v>1001.7107428296573</v>
      </c>
      <c r="S338" s="35">
        <f t="shared" si="79"/>
        <v>155689.47078320794</v>
      </c>
      <c r="T338" s="36">
        <f t="shared" si="83"/>
        <v>64340.301100034303</v>
      </c>
      <c r="V338"/>
      <c r="W338"/>
      <c r="X338" s="9">
        <v>290</v>
      </c>
      <c r="Y338" s="6">
        <v>25</v>
      </c>
    </row>
    <row r="339" spans="1:25" ht="20.25" customHeight="1" x14ac:dyDescent="0.35">
      <c r="A339" s="195" t="s">
        <v>360</v>
      </c>
      <c r="B339" s="60">
        <v>291</v>
      </c>
      <c r="C339" s="34">
        <f t="shared" si="77"/>
        <v>64340.301100034303</v>
      </c>
      <c r="D339" s="38">
        <f t="shared" si="89"/>
        <v>64.643679822858999</v>
      </c>
      <c r="E339" s="34">
        <f t="shared" si="84"/>
        <v>0</v>
      </c>
      <c r="F339" s="15">
        <f t="shared" si="85"/>
        <v>54387.232017899129</v>
      </c>
      <c r="G339" s="15">
        <f t="shared" si="86"/>
        <v>6798.4040022373911</v>
      </c>
      <c r="H339" s="363">
        <f t="shared" si="80"/>
        <v>10000000.000000022</v>
      </c>
      <c r="I339" s="364"/>
      <c r="J339" s="362">
        <f t="shared" si="87"/>
        <v>64340.301100034303</v>
      </c>
      <c r="K339" s="361"/>
      <c r="L339" s="360">
        <f t="shared" si="78"/>
        <v>20074.173943210702</v>
      </c>
      <c r="M339" s="361"/>
      <c r="N339" s="358">
        <f t="shared" si="88"/>
        <v>10000000</v>
      </c>
      <c r="O339" s="359"/>
      <c r="P339" s="9">
        <f t="shared" si="81"/>
        <v>24</v>
      </c>
      <c r="R339" s="40">
        <f t="shared" si="82"/>
        <v>995.30690821351698</v>
      </c>
      <c r="S339" s="35">
        <f t="shared" si="79"/>
        <v>154694.16387499444</v>
      </c>
      <c r="T339" s="36">
        <f t="shared" si="83"/>
        <v>64340.301100034303</v>
      </c>
      <c r="V339"/>
      <c r="W339"/>
      <c r="X339" s="9">
        <v>291</v>
      </c>
      <c r="Y339" s="6">
        <v>25</v>
      </c>
    </row>
    <row r="340" spans="1:25" ht="20.25" customHeight="1" x14ac:dyDescent="0.35">
      <c r="A340" s="195" t="s">
        <v>361</v>
      </c>
      <c r="B340" s="63">
        <v>292</v>
      </c>
      <c r="C340" s="39">
        <f t="shared" si="77"/>
        <v>64340.301100034303</v>
      </c>
      <c r="D340" s="38">
        <f t="shared" si="89"/>
        <v>65.059599205260696</v>
      </c>
      <c r="E340" s="39">
        <f t="shared" si="84"/>
        <v>0</v>
      </c>
      <c r="F340" s="40">
        <f t="shared" si="85"/>
        <v>54450.860973444687</v>
      </c>
      <c r="G340" s="40">
        <f t="shared" si="86"/>
        <v>6806.3576216805859</v>
      </c>
      <c r="H340" s="360">
        <f t="shared" si="80"/>
        <v>10000000.000000022</v>
      </c>
      <c r="I340" s="365"/>
      <c r="J340" s="362">
        <f t="shared" si="87"/>
        <v>64340.301100034303</v>
      </c>
      <c r="K340" s="361"/>
      <c r="L340" s="360">
        <f t="shared" si="78"/>
        <v>20074.173943210702</v>
      </c>
      <c r="M340" s="361"/>
      <c r="N340" s="358">
        <f t="shared" si="88"/>
        <v>10000000</v>
      </c>
      <c r="O340" s="359"/>
      <c r="P340" s="9">
        <f t="shared" si="81"/>
        <v>24</v>
      </c>
      <c r="R340" s="40">
        <f t="shared" si="82"/>
        <v>988.94401265896158</v>
      </c>
      <c r="S340" s="35">
        <f t="shared" si="79"/>
        <v>153705.21986233548</v>
      </c>
      <c r="T340" s="36">
        <f t="shared" si="83"/>
        <v>64340.301100034303</v>
      </c>
      <c r="V340"/>
      <c r="W340"/>
      <c r="X340" s="9">
        <v>292</v>
      </c>
      <c r="Y340" s="6">
        <v>25</v>
      </c>
    </row>
    <row r="341" spans="1:25" ht="20.25" customHeight="1" x14ac:dyDescent="0.35">
      <c r="A341" s="195" t="s">
        <v>360</v>
      </c>
      <c r="B341" s="60">
        <v>293</v>
      </c>
      <c r="C341" s="34">
        <f t="shared" si="77"/>
        <v>64340.301100034303</v>
      </c>
      <c r="D341" s="38">
        <f t="shared" si="89"/>
        <v>65.478194625492094</v>
      </c>
      <c r="E341" s="34">
        <f t="shared" si="84"/>
        <v>0</v>
      </c>
      <c r="F341" s="15">
        <f t="shared" si="85"/>
        <v>54514.083155566848</v>
      </c>
      <c r="G341" s="15">
        <f t="shared" si="86"/>
        <v>6814.260394445856</v>
      </c>
      <c r="H341" s="363">
        <f t="shared" si="80"/>
        <v>10000000.00000002</v>
      </c>
      <c r="I341" s="364"/>
      <c r="J341" s="362">
        <f t="shared" si="87"/>
        <v>64340.301100034303</v>
      </c>
      <c r="K341" s="361"/>
      <c r="L341" s="360">
        <f t="shared" si="78"/>
        <v>20074.173943210702</v>
      </c>
      <c r="M341" s="361"/>
      <c r="N341" s="358">
        <f t="shared" si="88"/>
        <v>10000000</v>
      </c>
      <c r="O341" s="359"/>
      <c r="P341" s="9">
        <f t="shared" si="81"/>
        <v>24</v>
      </c>
      <c r="R341" s="40">
        <f t="shared" si="82"/>
        <v>982.62179444674575</v>
      </c>
      <c r="S341" s="35">
        <f t="shared" si="79"/>
        <v>152722.59806788873</v>
      </c>
      <c r="T341" s="36">
        <f t="shared" si="83"/>
        <v>64340.301100034303</v>
      </c>
      <c r="V341"/>
      <c r="W341"/>
      <c r="X341" s="9">
        <v>293</v>
      </c>
      <c r="Y341" s="6">
        <v>25</v>
      </c>
    </row>
    <row r="342" spans="1:25" ht="20.25" customHeight="1" x14ac:dyDescent="0.35">
      <c r="A342" s="195" t="s">
        <v>361</v>
      </c>
      <c r="B342" s="63">
        <v>294</v>
      </c>
      <c r="C342" s="39">
        <f t="shared" si="77"/>
        <v>64340.301100034303</v>
      </c>
      <c r="D342" s="38">
        <f t="shared" si="89"/>
        <v>65.899483301261171</v>
      </c>
      <c r="E342" s="39">
        <f t="shared" si="84"/>
        <v>0</v>
      </c>
      <c r="F342" s="40">
        <f t="shared" si="85"/>
        <v>54576.901164726623</v>
      </c>
      <c r="G342" s="40">
        <f t="shared" si="86"/>
        <v>6822.1126455908279</v>
      </c>
      <c r="H342" s="360">
        <f t="shared" si="80"/>
        <v>10000000.00000002</v>
      </c>
      <c r="I342" s="365"/>
      <c r="J342" s="362">
        <f t="shared" si="87"/>
        <v>64340.301100034303</v>
      </c>
      <c r="K342" s="361"/>
      <c r="L342" s="360">
        <f t="shared" si="78"/>
        <v>20074.173943210702</v>
      </c>
      <c r="M342" s="361"/>
      <c r="N342" s="358">
        <f t="shared" si="88"/>
        <v>10000000</v>
      </c>
      <c r="O342" s="359"/>
      <c r="P342" s="9">
        <f t="shared" si="81"/>
        <v>24</v>
      </c>
      <c r="R342" s="40">
        <f t="shared" si="82"/>
        <v>976.33999353076831</v>
      </c>
      <c r="S342" s="35">
        <f t="shared" si="79"/>
        <v>151746.25807435796</v>
      </c>
      <c r="T342" s="36">
        <f t="shared" si="83"/>
        <v>64340.301100034303</v>
      </c>
      <c r="V342"/>
      <c r="W342"/>
      <c r="X342" s="9">
        <v>294</v>
      </c>
      <c r="Y342" s="6">
        <v>25</v>
      </c>
    </row>
    <row r="343" spans="1:25" ht="20.25" customHeight="1" x14ac:dyDescent="0.35">
      <c r="A343" s="195" t="s">
        <v>360</v>
      </c>
      <c r="B343" s="60">
        <v>295</v>
      </c>
      <c r="C343" s="34">
        <f t="shared" si="77"/>
        <v>64340.301100034303</v>
      </c>
      <c r="D343" s="38">
        <f t="shared" si="89"/>
        <v>66.323482561055158</v>
      </c>
      <c r="E343" s="34">
        <f t="shared" si="84"/>
        <v>0</v>
      </c>
      <c r="F343" s="15">
        <f t="shared" si="85"/>
        <v>54639.317584760538</v>
      </c>
      <c r="G343" s="15">
        <f t="shared" si="86"/>
        <v>6829.9146980950673</v>
      </c>
      <c r="H343" s="363">
        <f t="shared" si="80"/>
        <v>10000000.00000002</v>
      </c>
      <c r="I343" s="364"/>
      <c r="J343" s="362">
        <f t="shared" si="87"/>
        <v>64340.301100034303</v>
      </c>
      <c r="K343" s="361"/>
      <c r="L343" s="360">
        <f t="shared" si="78"/>
        <v>20074.173943210702</v>
      </c>
      <c r="M343" s="361"/>
      <c r="N343" s="358">
        <f t="shared" si="88"/>
        <v>10000000</v>
      </c>
      <c r="O343" s="359"/>
      <c r="P343" s="9">
        <f t="shared" si="81"/>
        <v>24</v>
      </c>
      <c r="R343" s="40">
        <f t="shared" si="82"/>
        <v>970.09835152737639</v>
      </c>
      <c r="S343" s="35">
        <f t="shared" si="79"/>
        <v>150776.15972283058</v>
      </c>
      <c r="T343" s="36">
        <f t="shared" si="83"/>
        <v>64340.301100034303</v>
      </c>
      <c r="V343"/>
      <c r="W343"/>
      <c r="X343" s="9">
        <v>295</v>
      </c>
      <c r="Y343" s="6">
        <v>25</v>
      </c>
    </row>
    <row r="344" spans="1:25" ht="20.25" customHeight="1" x14ac:dyDescent="0.35">
      <c r="A344" s="195" t="s">
        <v>361</v>
      </c>
      <c r="B344" s="63">
        <v>296</v>
      </c>
      <c r="C344" s="39">
        <f t="shared" si="77"/>
        <v>64340.301100034303</v>
      </c>
      <c r="D344" s="38">
        <f t="shared" si="89"/>
        <v>66.750209844853273</v>
      </c>
      <c r="E344" s="39">
        <f t="shared" si="84"/>
        <v>0</v>
      </c>
      <c r="F344" s="40">
        <f t="shared" si="85"/>
        <v>54701.334982986926</v>
      </c>
      <c r="G344" s="40">
        <f t="shared" si="86"/>
        <v>6837.6668728733657</v>
      </c>
      <c r="H344" s="360">
        <f t="shared" si="80"/>
        <v>10000000.000000022</v>
      </c>
      <c r="I344" s="365"/>
      <c r="J344" s="362">
        <f t="shared" si="87"/>
        <v>64340.301100034303</v>
      </c>
      <c r="K344" s="361"/>
      <c r="L344" s="360">
        <f t="shared" si="78"/>
        <v>20074.173943210702</v>
      </c>
      <c r="M344" s="361"/>
      <c r="N344" s="358">
        <f t="shared" si="88"/>
        <v>10000000</v>
      </c>
      <c r="O344" s="359"/>
      <c r="P344" s="9">
        <f t="shared" si="81"/>
        <v>24</v>
      </c>
      <c r="R344" s="40">
        <f t="shared" si="82"/>
        <v>963.89661170473778</v>
      </c>
      <c r="S344" s="35">
        <f t="shared" si="79"/>
        <v>149812.26311112585</v>
      </c>
      <c r="T344" s="36">
        <f t="shared" si="83"/>
        <v>64340.301100034303</v>
      </c>
      <c r="V344"/>
      <c r="W344"/>
      <c r="X344" s="9">
        <v>296</v>
      </c>
      <c r="Y344" s="6">
        <v>25</v>
      </c>
    </row>
    <row r="345" spans="1:25" ht="20.25" customHeight="1" x14ac:dyDescent="0.35">
      <c r="A345" s="195" t="s">
        <v>360</v>
      </c>
      <c r="B345" s="60">
        <v>297</v>
      </c>
      <c r="C345" s="34">
        <f t="shared" si="77"/>
        <v>64340.301100034303</v>
      </c>
      <c r="D345" s="38">
        <f t="shared" si="89"/>
        <v>67.179682704844112</v>
      </c>
      <c r="E345" s="34">
        <f t="shared" si="84"/>
        <v>0</v>
      </c>
      <c r="F345" s="15">
        <f t="shared" si="85"/>
        <v>54762.955910311495</v>
      </c>
      <c r="G345" s="15">
        <f t="shared" si="86"/>
        <v>6845.3694887889369</v>
      </c>
      <c r="H345" s="363">
        <f t="shared" si="80"/>
        <v>10000000.000000022</v>
      </c>
      <c r="I345" s="364"/>
      <c r="J345" s="362">
        <f t="shared" si="87"/>
        <v>64340.301100034303</v>
      </c>
      <c r="K345" s="361"/>
      <c r="L345" s="360">
        <f t="shared" si="78"/>
        <v>20074.173943210702</v>
      </c>
      <c r="M345" s="361"/>
      <c r="N345" s="358">
        <f t="shared" si="88"/>
        <v>10000000</v>
      </c>
      <c r="O345" s="359"/>
      <c r="P345" s="9">
        <f t="shared" si="81"/>
        <v>24</v>
      </c>
      <c r="R345" s="40">
        <f t="shared" si="82"/>
        <v>957.7345189722804</v>
      </c>
      <c r="S345" s="35">
        <f t="shared" si="79"/>
        <v>148854.52859215357</v>
      </c>
      <c r="T345" s="36">
        <f t="shared" si="83"/>
        <v>64340.301100034303</v>
      </c>
      <c r="V345"/>
      <c r="W345"/>
      <c r="X345" s="9">
        <v>297</v>
      </c>
      <c r="Y345" s="6">
        <v>25</v>
      </c>
    </row>
    <row r="346" spans="1:25" ht="20.25" customHeight="1" x14ac:dyDescent="0.35">
      <c r="A346" s="195" t="s">
        <v>361</v>
      </c>
      <c r="B346" s="63">
        <v>298</v>
      </c>
      <c r="C346" s="39">
        <f t="shared" si="77"/>
        <v>64340.301100034303</v>
      </c>
      <c r="D346" s="38">
        <f t="shared" si="89"/>
        <v>67.611918806147557</v>
      </c>
      <c r="E346" s="39">
        <f t="shared" si="84"/>
        <v>0</v>
      </c>
      <c r="F346" s="40">
        <f t="shared" si="85"/>
        <v>54824.1829013323</v>
      </c>
      <c r="G346" s="40">
        <f t="shared" si="86"/>
        <v>6853.0228626665375</v>
      </c>
      <c r="H346" s="360">
        <f t="shared" si="80"/>
        <v>10000000.000000024</v>
      </c>
      <c r="I346" s="365"/>
      <c r="J346" s="362">
        <f t="shared" si="87"/>
        <v>64340.301100034303</v>
      </c>
      <c r="K346" s="361"/>
      <c r="L346" s="360">
        <f t="shared" si="78"/>
        <v>20074.173943210702</v>
      </c>
      <c r="M346" s="361"/>
      <c r="N346" s="358">
        <f t="shared" si="88"/>
        <v>10000000</v>
      </c>
      <c r="O346" s="359"/>
      <c r="P346" s="9">
        <f t="shared" si="81"/>
        <v>24</v>
      </c>
      <c r="R346" s="40">
        <f t="shared" si="82"/>
        <v>951.61181987020041</v>
      </c>
      <c r="S346" s="35">
        <f t="shared" si="79"/>
        <v>147902.91677228338</v>
      </c>
      <c r="T346" s="36">
        <f t="shared" si="83"/>
        <v>64340.301100034303</v>
      </c>
      <c r="V346"/>
      <c r="W346"/>
      <c r="X346" s="9">
        <v>298</v>
      </c>
      <c r="Y346" s="6">
        <v>25</v>
      </c>
    </row>
    <row r="347" spans="1:25" ht="20.25" customHeight="1" x14ac:dyDescent="0.35">
      <c r="A347" s="195" t="s">
        <v>360</v>
      </c>
      <c r="B347" s="60">
        <v>299</v>
      </c>
      <c r="C347" s="34">
        <f t="shared" si="77"/>
        <v>64340.301100034303</v>
      </c>
      <c r="D347" s="38">
        <f t="shared" si="89"/>
        <v>68.046935927541412</v>
      </c>
      <c r="E347" s="34">
        <f t="shared" si="84"/>
        <v>0</v>
      </c>
      <c r="F347" s="15">
        <f t="shared" si="85"/>
        <v>54885.018474443939</v>
      </c>
      <c r="G347" s="15">
        <f t="shared" si="86"/>
        <v>6860.6273093054924</v>
      </c>
      <c r="H347" s="363">
        <f t="shared" si="80"/>
        <v>10000000.000000022</v>
      </c>
      <c r="I347" s="364"/>
      <c r="J347" s="362">
        <f t="shared" si="87"/>
        <v>64340.301100034303</v>
      </c>
      <c r="K347" s="361"/>
      <c r="L347" s="360">
        <f t="shared" si="78"/>
        <v>20074.173943210702</v>
      </c>
      <c r="M347" s="361"/>
      <c r="N347" s="358">
        <f t="shared" si="88"/>
        <v>10000000</v>
      </c>
      <c r="O347" s="359"/>
      <c r="P347" s="9">
        <f t="shared" si="81"/>
        <v>24</v>
      </c>
      <c r="R347" s="40">
        <f t="shared" si="82"/>
        <v>945.52826255903642</v>
      </c>
      <c r="S347" s="35">
        <f t="shared" si="79"/>
        <v>146957.38850972435</v>
      </c>
      <c r="T347" s="36">
        <f t="shared" si="83"/>
        <v>64340.301100034303</v>
      </c>
      <c r="V347"/>
      <c r="W347"/>
      <c r="X347" s="9">
        <v>299</v>
      </c>
      <c r="Y347" s="6">
        <v>25</v>
      </c>
    </row>
    <row r="348" spans="1:25" ht="20.25" customHeight="1" thickBot="1" x14ac:dyDescent="0.4">
      <c r="A348" s="195" t="s">
        <v>361</v>
      </c>
      <c r="B348" s="261">
        <v>300</v>
      </c>
      <c r="C348" s="262">
        <f t="shared" si="77"/>
        <v>64340.301100034303</v>
      </c>
      <c r="D348" s="263">
        <f t="shared" si="89"/>
        <v>68.484751962192689</v>
      </c>
      <c r="E348" s="262">
        <f t="shared" si="84"/>
        <v>0</v>
      </c>
      <c r="F348" s="264">
        <f t="shared" si="85"/>
        <v>54945.465131941193</v>
      </c>
      <c r="G348" s="264">
        <f t="shared" si="86"/>
        <v>6868.1831414926492</v>
      </c>
      <c r="H348" s="469">
        <f t="shared" si="80"/>
        <v>10000000.000000022</v>
      </c>
      <c r="I348" s="479"/>
      <c r="J348" s="466">
        <f t="shared" si="87"/>
        <v>64340.301100034303</v>
      </c>
      <c r="K348" s="467"/>
      <c r="L348" s="469">
        <f t="shared" si="78"/>
        <v>20074.173943210702</v>
      </c>
      <c r="M348" s="467"/>
      <c r="N348" s="473">
        <f t="shared" si="88"/>
        <v>10000000</v>
      </c>
      <c r="O348" s="474"/>
      <c r="P348" s="9">
        <f t="shared" si="81"/>
        <v>24</v>
      </c>
      <c r="R348" s="40">
        <f t="shared" si="82"/>
        <v>939.48359680931094</v>
      </c>
      <c r="S348" s="35">
        <f t="shared" si="79"/>
        <v>146017.90491291502</v>
      </c>
      <c r="T348" s="36">
        <f t="shared" si="83"/>
        <v>64340.301100034303</v>
      </c>
      <c r="V348"/>
      <c r="W348"/>
      <c r="X348" s="9">
        <v>300</v>
      </c>
      <c r="Y348" s="6">
        <v>25</v>
      </c>
    </row>
    <row r="349" spans="1:25" ht="15" customHeight="1" thickTop="1" x14ac:dyDescent="0.35"/>
    <row r="350" spans="1:25" ht="15" hidden="1" customHeight="1" x14ac:dyDescent="0.35">
      <c r="R350" s="123">
        <f>S348*D348</f>
        <v>10000000.000000022</v>
      </c>
    </row>
    <row r="351" spans="1:25" ht="15" hidden="1" customHeight="1" x14ac:dyDescent="0.35">
      <c r="R351" s="123">
        <f>S348*58.48*10.4%</f>
        <v>888069.21624795604</v>
      </c>
    </row>
    <row r="352" spans="1:25" ht="15" hidden="1" customHeight="1" x14ac:dyDescent="0.35">
      <c r="S352" s="123"/>
    </row>
  </sheetData>
  <mergeCells count="1425">
    <mergeCell ref="H317:I317"/>
    <mergeCell ref="H318:I318"/>
    <mergeCell ref="H338:I338"/>
    <mergeCell ref="H339:I339"/>
    <mergeCell ref="H340:I340"/>
    <mergeCell ref="H341:I341"/>
    <mergeCell ref="H342:I342"/>
    <mergeCell ref="H343:I343"/>
    <mergeCell ref="H344:I344"/>
    <mergeCell ref="H345:I345"/>
    <mergeCell ref="H346:I346"/>
    <mergeCell ref="H347:I347"/>
    <mergeCell ref="H348:I348"/>
    <mergeCell ref="H321:I321"/>
    <mergeCell ref="H322:I322"/>
    <mergeCell ref="H323:I323"/>
    <mergeCell ref="H324:I324"/>
    <mergeCell ref="H325:I325"/>
    <mergeCell ref="H326:I326"/>
    <mergeCell ref="H327:I327"/>
    <mergeCell ref="H328:I328"/>
    <mergeCell ref="H329:I329"/>
    <mergeCell ref="H330:I330"/>
    <mergeCell ref="H331:I331"/>
    <mergeCell ref="H332:I332"/>
    <mergeCell ref="H333:I333"/>
    <mergeCell ref="H334:I334"/>
    <mergeCell ref="H335:I335"/>
    <mergeCell ref="H336:I336"/>
    <mergeCell ref="H337:I337"/>
    <mergeCell ref="H302:I302"/>
    <mergeCell ref="H303:I303"/>
    <mergeCell ref="H304:I304"/>
    <mergeCell ref="H305:I305"/>
    <mergeCell ref="H306:I306"/>
    <mergeCell ref="H307:I307"/>
    <mergeCell ref="H308:I308"/>
    <mergeCell ref="H309:I309"/>
    <mergeCell ref="H310:I310"/>
    <mergeCell ref="H311:I311"/>
    <mergeCell ref="H312:I312"/>
    <mergeCell ref="H313:I313"/>
    <mergeCell ref="H314:I314"/>
    <mergeCell ref="H315:I315"/>
    <mergeCell ref="H316:I316"/>
    <mergeCell ref="H290:I290"/>
    <mergeCell ref="H291:I291"/>
    <mergeCell ref="H292:I292"/>
    <mergeCell ref="H293:I293"/>
    <mergeCell ref="H294:I294"/>
    <mergeCell ref="H295:I295"/>
    <mergeCell ref="H296:I296"/>
    <mergeCell ref="H297:I297"/>
    <mergeCell ref="H298:I298"/>
    <mergeCell ref="H299:I299"/>
    <mergeCell ref="H300:I300"/>
    <mergeCell ref="H301:I301"/>
    <mergeCell ref="H214:I214"/>
    <mergeCell ref="H215:I215"/>
    <mergeCell ref="H235:I235"/>
    <mergeCell ref="H236:I236"/>
    <mergeCell ref="H237:I237"/>
    <mergeCell ref="H238:I238"/>
    <mergeCell ref="H239:I239"/>
    <mergeCell ref="H240:I240"/>
    <mergeCell ref="H241:I241"/>
    <mergeCell ref="H242:I242"/>
    <mergeCell ref="H243:I243"/>
    <mergeCell ref="H244:I244"/>
    <mergeCell ref="H245:I245"/>
    <mergeCell ref="H246:I246"/>
    <mergeCell ref="H247:I247"/>
    <mergeCell ref="H248:I248"/>
    <mergeCell ref="H249:I249"/>
    <mergeCell ref="H222:I222"/>
    <mergeCell ref="H223:I223"/>
    <mergeCell ref="H224:I224"/>
    <mergeCell ref="H225:I225"/>
    <mergeCell ref="H226:I226"/>
    <mergeCell ref="H227:I227"/>
    <mergeCell ref="H228:I228"/>
    <mergeCell ref="H229:I229"/>
    <mergeCell ref="H230:I230"/>
    <mergeCell ref="H231:I231"/>
    <mergeCell ref="H232:I232"/>
    <mergeCell ref="H233:I233"/>
    <mergeCell ref="H234:I234"/>
    <mergeCell ref="H119:I119"/>
    <mergeCell ref="H120:I120"/>
    <mergeCell ref="H121:I121"/>
    <mergeCell ref="H122:I122"/>
    <mergeCell ref="H123:I123"/>
    <mergeCell ref="H124:I124"/>
    <mergeCell ref="H125:I125"/>
    <mergeCell ref="H126:I126"/>
    <mergeCell ref="H127:I127"/>
    <mergeCell ref="H128:I128"/>
    <mergeCell ref="H129:I129"/>
    <mergeCell ref="H130:I130"/>
    <mergeCell ref="H131:I131"/>
    <mergeCell ref="H132:I132"/>
    <mergeCell ref="H148:I148"/>
    <mergeCell ref="H149:I149"/>
    <mergeCell ref="H150:I150"/>
    <mergeCell ref="H137:I137"/>
    <mergeCell ref="H138:I138"/>
    <mergeCell ref="H139:I139"/>
    <mergeCell ref="H140:I140"/>
    <mergeCell ref="H141:I141"/>
    <mergeCell ref="H142:I142"/>
    <mergeCell ref="H143:I143"/>
    <mergeCell ref="H144:I144"/>
    <mergeCell ref="H145:I145"/>
    <mergeCell ref="H146:I146"/>
    <mergeCell ref="H147:I147"/>
    <mergeCell ref="H102:I102"/>
    <mergeCell ref="H103:I103"/>
    <mergeCell ref="H104:I104"/>
    <mergeCell ref="H105:I105"/>
    <mergeCell ref="H106:I106"/>
    <mergeCell ref="H107:I107"/>
    <mergeCell ref="H108:I108"/>
    <mergeCell ref="H109:I109"/>
    <mergeCell ref="H110:I110"/>
    <mergeCell ref="H111:I111"/>
    <mergeCell ref="H112:I112"/>
    <mergeCell ref="H113:I113"/>
    <mergeCell ref="H114:I114"/>
    <mergeCell ref="H115:I115"/>
    <mergeCell ref="H116:I116"/>
    <mergeCell ref="H117:I117"/>
    <mergeCell ref="H118:I118"/>
    <mergeCell ref="H85:I85"/>
    <mergeCell ref="H86:I86"/>
    <mergeCell ref="H87:I87"/>
    <mergeCell ref="H88:I88"/>
    <mergeCell ref="H89:I89"/>
    <mergeCell ref="H90:I90"/>
    <mergeCell ref="H91:I91"/>
    <mergeCell ref="H92:I92"/>
    <mergeCell ref="H93:I93"/>
    <mergeCell ref="H94:I94"/>
    <mergeCell ref="H95:I95"/>
    <mergeCell ref="H96:I96"/>
    <mergeCell ref="H97:I97"/>
    <mergeCell ref="H98:I98"/>
    <mergeCell ref="H99:I99"/>
    <mergeCell ref="H100:I100"/>
    <mergeCell ref="H101:I101"/>
    <mergeCell ref="H63:I63"/>
    <mergeCell ref="H64:I64"/>
    <mergeCell ref="H65:I65"/>
    <mergeCell ref="H66:I66"/>
    <mergeCell ref="H67:I67"/>
    <mergeCell ref="H68:I68"/>
    <mergeCell ref="H69:I69"/>
    <mergeCell ref="H70:I70"/>
    <mergeCell ref="H71:I71"/>
    <mergeCell ref="H72:I72"/>
    <mergeCell ref="H73:I73"/>
    <mergeCell ref="H74:I74"/>
    <mergeCell ref="H75:I75"/>
    <mergeCell ref="H76:I76"/>
    <mergeCell ref="H82:I82"/>
    <mergeCell ref="H83:I83"/>
    <mergeCell ref="H84:I84"/>
    <mergeCell ref="N333:O333"/>
    <mergeCell ref="N334:O334"/>
    <mergeCell ref="N335:O335"/>
    <mergeCell ref="N336:O336"/>
    <mergeCell ref="N337:O337"/>
    <mergeCell ref="N338:O338"/>
    <mergeCell ref="N339:O339"/>
    <mergeCell ref="N340:O340"/>
    <mergeCell ref="N341:O341"/>
    <mergeCell ref="N342:O342"/>
    <mergeCell ref="N343:O343"/>
    <mergeCell ref="N344:O344"/>
    <mergeCell ref="N345:O345"/>
    <mergeCell ref="N346:O346"/>
    <mergeCell ref="N347:O347"/>
    <mergeCell ref="N348:O348"/>
    <mergeCell ref="G47:G48"/>
    <mergeCell ref="H47:I48"/>
    <mergeCell ref="H49:I49"/>
    <mergeCell ref="H50:I50"/>
    <mergeCell ref="H51:I51"/>
    <mergeCell ref="H52:I52"/>
    <mergeCell ref="H53:I53"/>
    <mergeCell ref="H54:I54"/>
    <mergeCell ref="H55:I55"/>
    <mergeCell ref="H56:I56"/>
    <mergeCell ref="H57:I57"/>
    <mergeCell ref="H58:I58"/>
    <mergeCell ref="H59:I59"/>
    <mergeCell ref="H60:I60"/>
    <mergeCell ref="H61:I61"/>
    <mergeCell ref="H62:I62"/>
    <mergeCell ref="N316:O316"/>
    <mergeCell ref="N317:O317"/>
    <mergeCell ref="N318:O318"/>
    <mergeCell ref="N319:O319"/>
    <mergeCell ref="N320:O320"/>
    <mergeCell ref="N321:O321"/>
    <mergeCell ref="N322:O322"/>
    <mergeCell ref="N323:O323"/>
    <mergeCell ref="N324:O324"/>
    <mergeCell ref="N325:O325"/>
    <mergeCell ref="N326:O326"/>
    <mergeCell ref="N327:O327"/>
    <mergeCell ref="N328:O328"/>
    <mergeCell ref="N329:O329"/>
    <mergeCell ref="N330:O330"/>
    <mergeCell ref="N331:O331"/>
    <mergeCell ref="N332:O332"/>
    <mergeCell ref="N299:O299"/>
    <mergeCell ref="N300:O300"/>
    <mergeCell ref="N301:O301"/>
    <mergeCell ref="N302:O302"/>
    <mergeCell ref="N303:O303"/>
    <mergeCell ref="N304:O304"/>
    <mergeCell ref="N305:O305"/>
    <mergeCell ref="N306:O306"/>
    <mergeCell ref="N307:O307"/>
    <mergeCell ref="N308:O308"/>
    <mergeCell ref="N309:O309"/>
    <mergeCell ref="N310:O310"/>
    <mergeCell ref="N311:O311"/>
    <mergeCell ref="N312:O312"/>
    <mergeCell ref="N313:O313"/>
    <mergeCell ref="N314:O314"/>
    <mergeCell ref="N315:O315"/>
    <mergeCell ref="N213:O213"/>
    <mergeCell ref="N214:O214"/>
    <mergeCell ref="N215:O215"/>
    <mergeCell ref="N216:O216"/>
    <mergeCell ref="N217:O217"/>
    <mergeCell ref="N218:O218"/>
    <mergeCell ref="N219:O219"/>
    <mergeCell ref="N220:O220"/>
    <mergeCell ref="N221:O221"/>
    <mergeCell ref="N222:O222"/>
    <mergeCell ref="N223:O223"/>
    <mergeCell ref="N233:O233"/>
    <mergeCell ref="N224:O224"/>
    <mergeCell ref="N225:O225"/>
    <mergeCell ref="N226:O226"/>
    <mergeCell ref="N249:O249"/>
    <mergeCell ref="N256:O256"/>
    <mergeCell ref="N250:O250"/>
    <mergeCell ref="N251:O251"/>
    <mergeCell ref="N252:O252"/>
    <mergeCell ref="N253:O253"/>
    <mergeCell ref="N254:O254"/>
    <mergeCell ref="N255:O255"/>
    <mergeCell ref="N184:O184"/>
    <mergeCell ref="N185:O185"/>
    <mergeCell ref="N186:O186"/>
    <mergeCell ref="N187:O187"/>
    <mergeCell ref="N188:O188"/>
    <mergeCell ref="N189:O189"/>
    <mergeCell ref="N190:O190"/>
    <mergeCell ref="N191:O191"/>
    <mergeCell ref="N192:O192"/>
    <mergeCell ref="N193:O193"/>
    <mergeCell ref="N194:O194"/>
    <mergeCell ref="N195:O195"/>
    <mergeCell ref="N196:O196"/>
    <mergeCell ref="N183:O183"/>
    <mergeCell ref="N208:O208"/>
    <mergeCell ref="N209:O209"/>
    <mergeCell ref="N210:O210"/>
    <mergeCell ref="N139:O139"/>
    <mergeCell ref="N140:O140"/>
    <mergeCell ref="N141:O141"/>
    <mergeCell ref="N142:O142"/>
    <mergeCell ref="N143:O143"/>
    <mergeCell ref="N144:O144"/>
    <mergeCell ref="N161:O161"/>
    <mergeCell ref="N162:O162"/>
    <mergeCell ref="N163:O163"/>
    <mergeCell ref="N164:O164"/>
    <mergeCell ref="N165:O165"/>
    <mergeCell ref="N166:O166"/>
    <mergeCell ref="N167:O167"/>
    <mergeCell ref="N168:O168"/>
    <mergeCell ref="N169:O169"/>
    <mergeCell ref="N170:O170"/>
    <mergeCell ref="N171:O171"/>
    <mergeCell ref="N145:O145"/>
    <mergeCell ref="N146:O146"/>
    <mergeCell ref="N147:O147"/>
    <mergeCell ref="N148:O148"/>
    <mergeCell ref="N149:O149"/>
    <mergeCell ref="N150:O150"/>
    <mergeCell ref="N151:O151"/>
    <mergeCell ref="N152:O152"/>
    <mergeCell ref="N153:O153"/>
    <mergeCell ref="N154:O154"/>
    <mergeCell ref="N155:O155"/>
    <mergeCell ref="N156:O156"/>
    <mergeCell ref="N157:O157"/>
    <mergeCell ref="N158:O158"/>
    <mergeCell ref="N159:O159"/>
    <mergeCell ref="N122:O122"/>
    <mergeCell ref="N123:O123"/>
    <mergeCell ref="N124:O124"/>
    <mergeCell ref="N125:O125"/>
    <mergeCell ref="N126:O126"/>
    <mergeCell ref="N127:O127"/>
    <mergeCell ref="N128:O128"/>
    <mergeCell ref="N129:O129"/>
    <mergeCell ref="N130:O130"/>
    <mergeCell ref="N131:O131"/>
    <mergeCell ref="N132:O132"/>
    <mergeCell ref="N133:O133"/>
    <mergeCell ref="N134:O134"/>
    <mergeCell ref="N135:O135"/>
    <mergeCell ref="N136:O136"/>
    <mergeCell ref="N137:O137"/>
    <mergeCell ref="N138:O138"/>
    <mergeCell ref="N105:O105"/>
    <mergeCell ref="N106:O106"/>
    <mergeCell ref="N107:O107"/>
    <mergeCell ref="N108:O108"/>
    <mergeCell ref="N109:O109"/>
    <mergeCell ref="N110:O110"/>
    <mergeCell ref="N111:O111"/>
    <mergeCell ref="N112:O112"/>
    <mergeCell ref="N113:O113"/>
    <mergeCell ref="N114:O114"/>
    <mergeCell ref="N115:O115"/>
    <mergeCell ref="N116:O116"/>
    <mergeCell ref="N117:O117"/>
    <mergeCell ref="N118:O118"/>
    <mergeCell ref="N119:O119"/>
    <mergeCell ref="N120:O120"/>
    <mergeCell ref="N121:O121"/>
    <mergeCell ref="N88:O88"/>
    <mergeCell ref="N89:O89"/>
    <mergeCell ref="N90:O90"/>
    <mergeCell ref="N91:O91"/>
    <mergeCell ref="N92:O92"/>
    <mergeCell ref="N93:O93"/>
    <mergeCell ref="N94:O94"/>
    <mergeCell ref="N95:O95"/>
    <mergeCell ref="N96:O96"/>
    <mergeCell ref="N97:O97"/>
    <mergeCell ref="N98:O98"/>
    <mergeCell ref="N99:O99"/>
    <mergeCell ref="N100:O100"/>
    <mergeCell ref="N101:O101"/>
    <mergeCell ref="N102:O102"/>
    <mergeCell ref="N103:O103"/>
    <mergeCell ref="N104:O104"/>
    <mergeCell ref="N71:O71"/>
    <mergeCell ref="N72:O72"/>
    <mergeCell ref="N73:O73"/>
    <mergeCell ref="N74:O74"/>
    <mergeCell ref="N75:O75"/>
    <mergeCell ref="N76:O76"/>
    <mergeCell ref="N77:O77"/>
    <mergeCell ref="N78:O78"/>
    <mergeCell ref="N79:O79"/>
    <mergeCell ref="N80:O80"/>
    <mergeCell ref="N81:O81"/>
    <mergeCell ref="N82:O82"/>
    <mergeCell ref="N83:O83"/>
    <mergeCell ref="N84:O84"/>
    <mergeCell ref="N85:O85"/>
    <mergeCell ref="N86:O86"/>
    <mergeCell ref="N87:O87"/>
    <mergeCell ref="L339:M339"/>
    <mergeCell ref="L340:M340"/>
    <mergeCell ref="L341:M341"/>
    <mergeCell ref="L342:M342"/>
    <mergeCell ref="L343:M343"/>
    <mergeCell ref="L344:M344"/>
    <mergeCell ref="L345:M345"/>
    <mergeCell ref="L346:M346"/>
    <mergeCell ref="L347:M347"/>
    <mergeCell ref="L348:M348"/>
    <mergeCell ref="N49:O49"/>
    <mergeCell ref="N50:O50"/>
    <mergeCell ref="N51:O51"/>
    <mergeCell ref="N52:O52"/>
    <mergeCell ref="N53:O53"/>
    <mergeCell ref="N54:O54"/>
    <mergeCell ref="N55:O55"/>
    <mergeCell ref="N56:O56"/>
    <mergeCell ref="N57:O57"/>
    <mergeCell ref="N58:O58"/>
    <mergeCell ref="N59:O59"/>
    <mergeCell ref="N60:O60"/>
    <mergeCell ref="N61:O61"/>
    <mergeCell ref="N62:O62"/>
    <mergeCell ref="N63:O63"/>
    <mergeCell ref="N64:O64"/>
    <mergeCell ref="N65:O65"/>
    <mergeCell ref="N66:O66"/>
    <mergeCell ref="N67:O67"/>
    <mergeCell ref="N68:O68"/>
    <mergeCell ref="N69:O69"/>
    <mergeCell ref="N70:O70"/>
    <mergeCell ref="L322:M322"/>
    <mergeCell ref="L323:M323"/>
    <mergeCell ref="L324:M324"/>
    <mergeCell ref="L325:M325"/>
    <mergeCell ref="L326:M326"/>
    <mergeCell ref="L327:M327"/>
    <mergeCell ref="L328:M328"/>
    <mergeCell ref="L329:M329"/>
    <mergeCell ref="L330:M330"/>
    <mergeCell ref="L331:M331"/>
    <mergeCell ref="L332:M332"/>
    <mergeCell ref="L333:M333"/>
    <mergeCell ref="L334:M334"/>
    <mergeCell ref="L335:M335"/>
    <mergeCell ref="L336:M336"/>
    <mergeCell ref="L337:M337"/>
    <mergeCell ref="L338:M338"/>
    <mergeCell ref="L128:M128"/>
    <mergeCell ref="L129:M129"/>
    <mergeCell ref="L130:M130"/>
    <mergeCell ref="L131:M131"/>
    <mergeCell ref="L132:M132"/>
    <mergeCell ref="L133:M133"/>
    <mergeCell ref="L311:M311"/>
    <mergeCell ref="L312:M312"/>
    <mergeCell ref="L313:M313"/>
    <mergeCell ref="L314:M314"/>
    <mergeCell ref="L315:M315"/>
    <mergeCell ref="L316:M316"/>
    <mergeCell ref="L317:M317"/>
    <mergeCell ref="L318:M318"/>
    <mergeCell ref="L319:M319"/>
    <mergeCell ref="L320:M320"/>
    <mergeCell ref="L321:M321"/>
    <mergeCell ref="L144:M144"/>
    <mergeCell ref="L145:M145"/>
    <mergeCell ref="L146:M146"/>
    <mergeCell ref="L183:M183"/>
    <mergeCell ref="L184:M184"/>
    <mergeCell ref="L185:M185"/>
    <mergeCell ref="L186:M186"/>
    <mergeCell ref="L187:M187"/>
    <mergeCell ref="L188:M188"/>
    <mergeCell ref="L189:M189"/>
    <mergeCell ref="L190:M190"/>
    <mergeCell ref="L191:M191"/>
    <mergeCell ref="L192:M192"/>
    <mergeCell ref="L135:M135"/>
    <mergeCell ref="L136:M136"/>
    <mergeCell ref="L111:M111"/>
    <mergeCell ref="L112:M112"/>
    <mergeCell ref="L113:M113"/>
    <mergeCell ref="L114:M114"/>
    <mergeCell ref="L115:M115"/>
    <mergeCell ref="L116:M116"/>
    <mergeCell ref="L117:M117"/>
    <mergeCell ref="L118:M118"/>
    <mergeCell ref="L119:M119"/>
    <mergeCell ref="L120:M120"/>
    <mergeCell ref="L121:M121"/>
    <mergeCell ref="L122:M122"/>
    <mergeCell ref="L123:M123"/>
    <mergeCell ref="L124:M124"/>
    <mergeCell ref="L125:M125"/>
    <mergeCell ref="L126:M126"/>
    <mergeCell ref="L127:M127"/>
    <mergeCell ref="L89:M89"/>
    <mergeCell ref="L90:M90"/>
    <mergeCell ref="L91:M91"/>
    <mergeCell ref="L92:M92"/>
    <mergeCell ref="L93:M93"/>
    <mergeCell ref="L94:M94"/>
    <mergeCell ref="L100:M100"/>
    <mergeCell ref="L101:M101"/>
    <mergeCell ref="L102:M102"/>
    <mergeCell ref="L103:M103"/>
    <mergeCell ref="L104:M104"/>
    <mergeCell ref="L105:M105"/>
    <mergeCell ref="L106:M106"/>
    <mergeCell ref="L107:M107"/>
    <mergeCell ref="L108:M108"/>
    <mergeCell ref="L109:M109"/>
    <mergeCell ref="L110:M110"/>
    <mergeCell ref="L95:M95"/>
    <mergeCell ref="L96:M96"/>
    <mergeCell ref="L97:M97"/>
    <mergeCell ref="L98:M98"/>
    <mergeCell ref="L99:M99"/>
    <mergeCell ref="L72:M72"/>
    <mergeCell ref="L73:M73"/>
    <mergeCell ref="L74:M74"/>
    <mergeCell ref="L75:M75"/>
    <mergeCell ref="L76:M76"/>
    <mergeCell ref="L77:M77"/>
    <mergeCell ref="L78:M78"/>
    <mergeCell ref="L79:M79"/>
    <mergeCell ref="L80:M80"/>
    <mergeCell ref="L81:M81"/>
    <mergeCell ref="L82:M82"/>
    <mergeCell ref="L83:M83"/>
    <mergeCell ref="L84:M84"/>
    <mergeCell ref="L85:M85"/>
    <mergeCell ref="L86:M86"/>
    <mergeCell ref="L87:M87"/>
    <mergeCell ref="L88:M88"/>
    <mergeCell ref="J329:K329"/>
    <mergeCell ref="J330:K330"/>
    <mergeCell ref="J331:K331"/>
    <mergeCell ref="J332:K332"/>
    <mergeCell ref="J333:K333"/>
    <mergeCell ref="J334:K334"/>
    <mergeCell ref="J346:K346"/>
    <mergeCell ref="J347:K347"/>
    <mergeCell ref="J348:K348"/>
    <mergeCell ref="L49:M49"/>
    <mergeCell ref="L50:M50"/>
    <mergeCell ref="L51:M51"/>
    <mergeCell ref="L52:M52"/>
    <mergeCell ref="L53:M53"/>
    <mergeCell ref="L54:M54"/>
    <mergeCell ref="L55:M55"/>
    <mergeCell ref="L56:M56"/>
    <mergeCell ref="L57:M57"/>
    <mergeCell ref="L58:M58"/>
    <mergeCell ref="L59:M59"/>
    <mergeCell ref="L60:M60"/>
    <mergeCell ref="L61:M61"/>
    <mergeCell ref="L62:M62"/>
    <mergeCell ref="L63:M63"/>
    <mergeCell ref="L64:M64"/>
    <mergeCell ref="L65:M65"/>
    <mergeCell ref="L66:M66"/>
    <mergeCell ref="L67:M67"/>
    <mergeCell ref="L68:M68"/>
    <mergeCell ref="L69:M69"/>
    <mergeCell ref="L70:M70"/>
    <mergeCell ref="L71:M71"/>
    <mergeCell ref="J134:K134"/>
    <mergeCell ref="J318:K318"/>
    <mergeCell ref="J319:K319"/>
    <mergeCell ref="J320:K320"/>
    <mergeCell ref="J321:K321"/>
    <mergeCell ref="J322:K322"/>
    <mergeCell ref="J323:K323"/>
    <mergeCell ref="J324:K324"/>
    <mergeCell ref="J325:K325"/>
    <mergeCell ref="J326:K326"/>
    <mergeCell ref="J327:K327"/>
    <mergeCell ref="J328:K328"/>
    <mergeCell ref="J139:K139"/>
    <mergeCell ref="J140:K140"/>
    <mergeCell ref="J141:K141"/>
    <mergeCell ref="J142:K142"/>
    <mergeCell ref="J143:K143"/>
    <mergeCell ref="J144:K144"/>
    <mergeCell ref="J145:K145"/>
    <mergeCell ref="J146:K146"/>
    <mergeCell ref="J147:K147"/>
    <mergeCell ref="J148:K148"/>
    <mergeCell ref="J149:K149"/>
    <mergeCell ref="J150:K150"/>
    <mergeCell ref="J151:K151"/>
    <mergeCell ref="J152:K152"/>
    <mergeCell ref="J157:K157"/>
    <mergeCell ref="J158:K158"/>
    <mergeCell ref="J159:K159"/>
    <mergeCell ref="J160:K160"/>
    <mergeCell ref="J161:K161"/>
    <mergeCell ref="J162:K162"/>
    <mergeCell ref="J117:K117"/>
    <mergeCell ref="J118:K118"/>
    <mergeCell ref="J119:K119"/>
    <mergeCell ref="J120:K120"/>
    <mergeCell ref="J121:K121"/>
    <mergeCell ref="J122:K122"/>
    <mergeCell ref="J123:K123"/>
    <mergeCell ref="J124:K124"/>
    <mergeCell ref="J125:K125"/>
    <mergeCell ref="J126:K126"/>
    <mergeCell ref="J127:K127"/>
    <mergeCell ref="J128:K128"/>
    <mergeCell ref="J129:K129"/>
    <mergeCell ref="J130:K130"/>
    <mergeCell ref="J131:K131"/>
    <mergeCell ref="J132:K132"/>
    <mergeCell ref="J133:K133"/>
    <mergeCell ref="J100:K100"/>
    <mergeCell ref="J101:K101"/>
    <mergeCell ref="J102:K102"/>
    <mergeCell ref="J103:K103"/>
    <mergeCell ref="J104:K104"/>
    <mergeCell ref="J105:K105"/>
    <mergeCell ref="J106:K106"/>
    <mergeCell ref="J107:K107"/>
    <mergeCell ref="J108:K108"/>
    <mergeCell ref="J109:K109"/>
    <mergeCell ref="J110:K110"/>
    <mergeCell ref="J111:K111"/>
    <mergeCell ref="J112:K112"/>
    <mergeCell ref="J113:K113"/>
    <mergeCell ref="J114:K114"/>
    <mergeCell ref="J115:K115"/>
    <mergeCell ref="J116:K116"/>
    <mergeCell ref="J83:K83"/>
    <mergeCell ref="J84:K84"/>
    <mergeCell ref="J85:K85"/>
    <mergeCell ref="J86:K86"/>
    <mergeCell ref="J87:K87"/>
    <mergeCell ref="J88:K88"/>
    <mergeCell ref="J89:K89"/>
    <mergeCell ref="J90:K90"/>
    <mergeCell ref="J91:K91"/>
    <mergeCell ref="J92:K92"/>
    <mergeCell ref="J93:K93"/>
    <mergeCell ref="J94:K94"/>
    <mergeCell ref="J95:K95"/>
    <mergeCell ref="J96:K96"/>
    <mergeCell ref="J97:K97"/>
    <mergeCell ref="J98:K98"/>
    <mergeCell ref="J99:K99"/>
    <mergeCell ref="J70:K70"/>
    <mergeCell ref="J71:K71"/>
    <mergeCell ref="J72:K72"/>
    <mergeCell ref="J73:K73"/>
    <mergeCell ref="J74:K74"/>
    <mergeCell ref="J75:K75"/>
    <mergeCell ref="J76:K76"/>
    <mergeCell ref="J77:K77"/>
    <mergeCell ref="J63:K63"/>
    <mergeCell ref="J64:K64"/>
    <mergeCell ref="J65:K65"/>
    <mergeCell ref="J66:K66"/>
    <mergeCell ref="J78:K78"/>
    <mergeCell ref="J79:K79"/>
    <mergeCell ref="J80:K80"/>
    <mergeCell ref="J81:K81"/>
    <mergeCell ref="J82:K82"/>
    <mergeCell ref="N38:O38"/>
    <mergeCell ref="L38:M38"/>
    <mergeCell ref="L42:M42"/>
    <mergeCell ref="J39:K39"/>
    <mergeCell ref="J40:K40"/>
    <mergeCell ref="L39:M39"/>
    <mergeCell ref="L40:M40"/>
    <mergeCell ref="J42:K42"/>
    <mergeCell ref="J57:K57"/>
    <mergeCell ref="J58:K58"/>
    <mergeCell ref="J59:K59"/>
    <mergeCell ref="J60:K60"/>
    <mergeCell ref="J61:K61"/>
    <mergeCell ref="J62:K62"/>
    <mergeCell ref="J67:K67"/>
    <mergeCell ref="J68:K68"/>
    <mergeCell ref="J69:K69"/>
    <mergeCell ref="H39:I39"/>
    <mergeCell ref="H40:I40"/>
    <mergeCell ref="J41:K41"/>
    <mergeCell ref="J47:K48"/>
    <mergeCell ref="L47:M48"/>
    <mergeCell ref="N47:O48"/>
    <mergeCell ref="J49:K49"/>
    <mergeCell ref="J50:K50"/>
    <mergeCell ref="J51:K51"/>
    <mergeCell ref="J52:K52"/>
    <mergeCell ref="J53:K53"/>
    <mergeCell ref="J54:K54"/>
    <mergeCell ref="J55:K55"/>
    <mergeCell ref="J56:K56"/>
    <mergeCell ref="N39:O39"/>
    <mergeCell ref="N40:O40"/>
    <mergeCell ref="N41:O41"/>
    <mergeCell ref="N42:O42"/>
    <mergeCell ref="C42:D42"/>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N22:O22"/>
    <mergeCell ref="N23:O23"/>
    <mergeCell ref="N24:O24"/>
    <mergeCell ref="N25:O25"/>
    <mergeCell ref="N26:O26"/>
    <mergeCell ref="N27:O27"/>
    <mergeCell ref="N28:O28"/>
    <mergeCell ref="N29:O29"/>
    <mergeCell ref="N30:O30"/>
    <mergeCell ref="N31:O31"/>
    <mergeCell ref="N32:O32"/>
    <mergeCell ref="N33:O33"/>
    <mergeCell ref="N34:O34"/>
    <mergeCell ref="N35:O35"/>
    <mergeCell ref="N36:O36"/>
    <mergeCell ref="N37:O37"/>
    <mergeCell ref="L28:M28"/>
    <mergeCell ref="L29:M29"/>
    <mergeCell ref="L30:M30"/>
    <mergeCell ref="L31:M31"/>
    <mergeCell ref="L32:M32"/>
    <mergeCell ref="L33:M33"/>
    <mergeCell ref="L34:M34"/>
    <mergeCell ref="L35:M35"/>
    <mergeCell ref="L36:M36"/>
    <mergeCell ref="L37:M37"/>
    <mergeCell ref="L22:M22"/>
    <mergeCell ref="L23:M23"/>
    <mergeCell ref="L24:M24"/>
    <mergeCell ref="L25:M25"/>
    <mergeCell ref="L26:M26"/>
    <mergeCell ref="L27:M27"/>
    <mergeCell ref="R29:S29"/>
    <mergeCell ref="R30:S30"/>
    <mergeCell ref="R31:S31"/>
    <mergeCell ref="R32:S32"/>
    <mergeCell ref="R33:S33"/>
    <mergeCell ref="R34:S34"/>
    <mergeCell ref="R35:S35"/>
    <mergeCell ref="R36:S36"/>
    <mergeCell ref="R37:S37"/>
    <mergeCell ref="R38:S38"/>
    <mergeCell ref="R39:S39"/>
    <mergeCell ref="R40:S40"/>
    <mergeCell ref="R41:S41"/>
    <mergeCell ref="R42:S42"/>
    <mergeCell ref="R23:S23"/>
    <mergeCell ref="R24:S24"/>
    <mergeCell ref="R21:S21"/>
    <mergeCell ref="R22:S22"/>
    <mergeCell ref="H25:I25"/>
    <mergeCell ref="H5:I5"/>
    <mergeCell ref="H8:I8"/>
    <mergeCell ref="H33:I33"/>
    <mergeCell ref="H34:I34"/>
    <mergeCell ref="H35:I35"/>
    <mergeCell ref="H20:I20"/>
    <mergeCell ref="H21:I21"/>
    <mergeCell ref="C22:D22"/>
    <mergeCell ref="C23:D23"/>
    <mergeCell ref="C24:D24"/>
    <mergeCell ref="C25:D25"/>
    <mergeCell ref="C26:D26"/>
    <mergeCell ref="C38:D38"/>
    <mergeCell ref="H28:I28"/>
    <mergeCell ref="H29:I29"/>
    <mergeCell ref="H30:I30"/>
    <mergeCell ref="H31:I31"/>
    <mergeCell ref="H32:I32"/>
    <mergeCell ref="H26:I26"/>
    <mergeCell ref="H27:I27"/>
    <mergeCell ref="C20:D20"/>
    <mergeCell ref="C21:D21"/>
    <mergeCell ref="H36:I36"/>
    <mergeCell ref="H37:I37"/>
    <mergeCell ref="H38:I38"/>
    <mergeCell ref="V12:W12"/>
    <mergeCell ref="N5:O5"/>
    <mergeCell ref="H6:I6"/>
    <mergeCell ref="H7:I7"/>
    <mergeCell ref="N7:O7"/>
    <mergeCell ref="N8:O8"/>
    <mergeCell ref="H12:I12"/>
    <mergeCell ref="N11:O11"/>
    <mergeCell ref="N17:O17"/>
    <mergeCell ref="B9:O9"/>
    <mergeCell ref="I10:J10"/>
    <mergeCell ref="T15:T16"/>
    <mergeCell ref="B15:B16"/>
    <mergeCell ref="C15:D16"/>
    <mergeCell ref="C18:D18"/>
    <mergeCell ref="C19:D19"/>
    <mergeCell ref="E15:E16"/>
    <mergeCell ref="H19:I19"/>
    <mergeCell ref="R18:S18"/>
    <mergeCell ref="R15:S16"/>
    <mergeCell ref="N19:O19"/>
    <mergeCell ref="R19:S19"/>
    <mergeCell ref="J18:K18"/>
    <mergeCell ref="F17:G17"/>
    <mergeCell ref="A2:A3"/>
    <mergeCell ref="B2:H3"/>
    <mergeCell ref="B14:I14"/>
    <mergeCell ref="L17:M17"/>
    <mergeCell ref="J17:K17"/>
    <mergeCell ref="J14:O14"/>
    <mergeCell ref="J19:K19"/>
    <mergeCell ref="F15:G16"/>
    <mergeCell ref="H15:I16"/>
    <mergeCell ref="J15:K16"/>
    <mergeCell ref="L15:M16"/>
    <mergeCell ref="N15:O16"/>
    <mergeCell ref="F18:G18"/>
    <mergeCell ref="H18:I18"/>
    <mergeCell ref="F19:G19"/>
    <mergeCell ref="L18:M18"/>
    <mergeCell ref="N18:O18"/>
    <mergeCell ref="C17:D17"/>
    <mergeCell ref="D47:D48"/>
    <mergeCell ref="J20:K20"/>
    <mergeCell ref="J21:K21"/>
    <mergeCell ref="H17:I17"/>
    <mergeCell ref="N20:O20"/>
    <mergeCell ref="N21:O21"/>
    <mergeCell ref="L19:M19"/>
    <mergeCell ref="L20:M20"/>
    <mergeCell ref="L21:M21"/>
    <mergeCell ref="H22:I22"/>
    <mergeCell ref="H23:I23"/>
    <mergeCell ref="H24:I24"/>
    <mergeCell ref="H41:I41"/>
    <mergeCell ref="R14:S14"/>
    <mergeCell ref="R25:S25"/>
    <mergeCell ref="R26:S26"/>
    <mergeCell ref="R27:S27"/>
    <mergeCell ref="R28:S28"/>
    <mergeCell ref="B46:I46"/>
    <mergeCell ref="J46:O46"/>
    <mergeCell ref="R47:R48"/>
    <mergeCell ref="B47:B48"/>
    <mergeCell ref="E47:E48"/>
    <mergeCell ref="R20:S20"/>
    <mergeCell ref="C27:D27"/>
    <mergeCell ref="C28:D28"/>
    <mergeCell ref="C29:D29"/>
    <mergeCell ref="F47:F48"/>
    <mergeCell ref="F20:G20"/>
    <mergeCell ref="F21:G21"/>
    <mergeCell ref="N43:O43"/>
    <mergeCell ref="L41:M41"/>
    <mergeCell ref="J22:K22"/>
    <mergeCell ref="J23:K23"/>
    <mergeCell ref="J24:K24"/>
    <mergeCell ref="J25:K25"/>
    <mergeCell ref="J26:K26"/>
    <mergeCell ref="J27:K27"/>
    <mergeCell ref="J28:K28"/>
    <mergeCell ref="J29:K29"/>
    <mergeCell ref="J30:K30"/>
    <mergeCell ref="J31:K31"/>
    <mergeCell ref="J32:K32"/>
    <mergeCell ref="J33:K33"/>
    <mergeCell ref="J34:K34"/>
    <mergeCell ref="J35:K35"/>
    <mergeCell ref="J36:K36"/>
    <mergeCell ref="J37:K37"/>
    <mergeCell ref="J38:K38"/>
    <mergeCell ref="C47:C48"/>
    <mergeCell ref="C30:D30"/>
    <mergeCell ref="C31:D31"/>
    <mergeCell ref="C32:D32"/>
    <mergeCell ref="C33:D33"/>
    <mergeCell ref="C34:D34"/>
    <mergeCell ref="C35:D35"/>
    <mergeCell ref="C36:D36"/>
    <mergeCell ref="C37:D37"/>
    <mergeCell ref="H43:I43"/>
    <mergeCell ref="H133:I133"/>
    <mergeCell ref="H134:I134"/>
    <mergeCell ref="H135:I135"/>
    <mergeCell ref="H136:I136"/>
    <mergeCell ref="H77:I77"/>
    <mergeCell ref="H78:I78"/>
    <mergeCell ref="H79:I79"/>
    <mergeCell ref="H80:I80"/>
    <mergeCell ref="H81:I81"/>
    <mergeCell ref="C40:D40"/>
    <mergeCell ref="C41:D41"/>
    <mergeCell ref="C39:D39"/>
    <mergeCell ref="H42:I42"/>
    <mergeCell ref="B44:O45"/>
    <mergeCell ref="B43:G43"/>
    <mergeCell ref="F39:G39"/>
    <mergeCell ref="F40:G40"/>
    <mergeCell ref="F41:G41"/>
    <mergeCell ref="F42:G42"/>
    <mergeCell ref="J135:K135"/>
    <mergeCell ref="J136:K136"/>
    <mergeCell ref="L134:M134"/>
    <mergeCell ref="H165:I165"/>
    <mergeCell ref="H166:I166"/>
    <mergeCell ref="H167:I167"/>
    <mergeCell ref="H168:I168"/>
    <mergeCell ref="H169:I169"/>
    <mergeCell ref="H170:I170"/>
    <mergeCell ref="H151:I151"/>
    <mergeCell ref="H152:I152"/>
    <mergeCell ref="H153:I153"/>
    <mergeCell ref="H154:I154"/>
    <mergeCell ref="H155:I155"/>
    <mergeCell ref="H156:I156"/>
    <mergeCell ref="H157:I157"/>
    <mergeCell ref="H158:I158"/>
    <mergeCell ref="H159:I159"/>
    <mergeCell ref="H160:I160"/>
    <mergeCell ref="H161:I161"/>
    <mergeCell ref="H162:I162"/>
    <mergeCell ref="H163:I163"/>
    <mergeCell ref="H164:I164"/>
    <mergeCell ref="H171:I171"/>
    <mergeCell ref="H172:I172"/>
    <mergeCell ref="H173:I173"/>
    <mergeCell ref="H174:I174"/>
    <mergeCell ref="H175:I175"/>
    <mergeCell ref="H176:I176"/>
    <mergeCell ref="H177:I177"/>
    <mergeCell ref="H178:I178"/>
    <mergeCell ref="H179:I179"/>
    <mergeCell ref="H180:I180"/>
    <mergeCell ref="H181:I181"/>
    <mergeCell ref="H182:I182"/>
    <mergeCell ref="H183:I183"/>
    <mergeCell ref="H184:I184"/>
    <mergeCell ref="H185:I185"/>
    <mergeCell ref="H186:I186"/>
    <mergeCell ref="H187:I187"/>
    <mergeCell ref="H188:I188"/>
    <mergeCell ref="H189:I189"/>
    <mergeCell ref="H190:I190"/>
    <mergeCell ref="H191:I191"/>
    <mergeCell ref="H192:I192"/>
    <mergeCell ref="H193:I193"/>
    <mergeCell ref="H194:I194"/>
    <mergeCell ref="H195:I195"/>
    <mergeCell ref="H196:I196"/>
    <mergeCell ref="H197:I197"/>
    <mergeCell ref="H198:I198"/>
    <mergeCell ref="H216:I216"/>
    <mergeCell ref="H217:I217"/>
    <mergeCell ref="H218:I218"/>
    <mergeCell ref="H219:I219"/>
    <mergeCell ref="H220:I220"/>
    <mergeCell ref="H221:I221"/>
    <mergeCell ref="H199:I199"/>
    <mergeCell ref="H200:I200"/>
    <mergeCell ref="H201:I201"/>
    <mergeCell ref="H202:I202"/>
    <mergeCell ref="H203:I203"/>
    <mergeCell ref="H204:I204"/>
    <mergeCell ref="H205:I205"/>
    <mergeCell ref="H206:I206"/>
    <mergeCell ref="H207:I207"/>
    <mergeCell ref="H208:I208"/>
    <mergeCell ref="H209:I209"/>
    <mergeCell ref="H210:I210"/>
    <mergeCell ref="H211:I211"/>
    <mergeCell ref="H212:I212"/>
    <mergeCell ref="H213:I213"/>
    <mergeCell ref="H252:I252"/>
    <mergeCell ref="H253:I253"/>
    <mergeCell ref="H254:I254"/>
    <mergeCell ref="H255:I255"/>
    <mergeCell ref="H250:I250"/>
    <mergeCell ref="H251:I251"/>
    <mergeCell ref="H256:I256"/>
    <mergeCell ref="H257:I257"/>
    <mergeCell ref="H258:I258"/>
    <mergeCell ref="H259:I259"/>
    <mergeCell ref="H260:I260"/>
    <mergeCell ref="H261:I261"/>
    <mergeCell ref="H262:I262"/>
    <mergeCell ref="H263:I263"/>
    <mergeCell ref="H264:I264"/>
    <mergeCell ref="H265:I265"/>
    <mergeCell ref="H266:I266"/>
    <mergeCell ref="H267:I267"/>
    <mergeCell ref="H268:I268"/>
    <mergeCell ref="H269:I269"/>
    <mergeCell ref="H270:I270"/>
    <mergeCell ref="H288:I288"/>
    <mergeCell ref="H289:I289"/>
    <mergeCell ref="H271:I271"/>
    <mergeCell ref="H272:I272"/>
    <mergeCell ref="H273:I273"/>
    <mergeCell ref="H274:I274"/>
    <mergeCell ref="H275:I275"/>
    <mergeCell ref="H276:I276"/>
    <mergeCell ref="H277:I277"/>
    <mergeCell ref="H278:I278"/>
    <mergeCell ref="H279:I279"/>
    <mergeCell ref="H280:I280"/>
    <mergeCell ref="H281:I281"/>
    <mergeCell ref="H282:I282"/>
    <mergeCell ref="H283:I283"/>
    <mergeCell ref="H284:I284"/>
    <mergeCell ref="H285:I285"/>
    <mergeCell ref="H286:I286"/>
    <mergeCell ref="H287:I287"/>
    <mergeCell ref="J163:K163"/>
    <mergeCell ref="J164:K164"/>
    <mergeCell ref="J165:K165"/>
    <mergeCell ref="J166:K166"/>
    <mergeCell ref="J167:K167"/>
    <mergeCell ref="J168:K168"/>
    <mergeCell ref="J169:K169"/>
    <mergeCell ref="J170:K170"/>
    <mergeCell ref="J175:K175"/>
    <mergeCell ref="J176:K176"/>
    <mergeCell ref="J177:K177"/>
    <mergeCell ref="J178:K178"/>
    <mergeCell ref="J179:K179"/>
    <mergeCell ref="J180:K180"/>
    <mergeCell ref="J181:K181"/>
    <mergeCell ref="J182:K182"/>
    <mergeCell ref="J183:K183"/>
    <mergeCell ref="J184:K184"/>
    <mergeCell ref="J185:K185"/>
    <mergeCell ref="J186:K186"/>
    <mergeCell ref="J187:K187"/>
    <mergeCell ref="J188:K188"/>
    <mergeCell ref="J193:K193"/>
    <mergeCell ref="J194:K194"/>
    <mergeCell ref="J195:K195"/>
    <mergeCell ref="J196:K196"/>
    <mergeCell ref="J197:K197"/>
    <mergeCell ref="J198:K198"/>
    <mergeCell ref="J199:K199"/>
    <mergeCell ref="J191:K191"/>
    <mergeCell ref="J192:K192"/>
    <mergeCell ref="J200:K200"/>
    <mergeCell ref="J201:K201"/>
    <mergeCell ref="J202:K202"/>
    <mergeCell ref="J203:K203"/>
    <mergeCell ref="J204:K204"/>
    <mergeCell ref="J238:K238"/>
    <mergeCell ref="J239:K239"/>
    <mergeCell ref="J240:K240"/>
    <mergeCell ref="J241:K241"/>
    <mergeCell ref="J242:K242"/>
    <mergeCell ref="J247:K247"/>
    <mergeCell ref="J248:K248"/>
    <mergeCell ref="J249:K249"/>
    <mergeCell ref="J250:K250"/>
    <mergeCell ref="J205:K205"/>
    <mergeCell ref="J206:K206"/>
    <mergeCell ref="J211:K211"/>
    <mergeCell ref="J212:K212"/>
    <mergeCell ref="J213:K213"/>
    <mergeCell ref="J214:K214"/>
    <mergeCell ref="J215:K215"/>
    <mergeCell ref="J216:K216"/>
    <mergeCell ref="J217:K217"/>
    <mergeCell ref="J218:K218"/>
    <mergeCell ref="J219:K219"/>
    <mergeCell ref="J220:K220"/>
    <mergeCell ref="J221:K221"/>
    <mergeCell ref="J222:K222"/>
    <mergeCell ref="J223:K223"/>
    <mergeCell ref="J224:K224"/>
    <mergeCell ref="J229:K229"/>
    <mergeCell ref="J227:K227"/>
    <mergeCell ref="J228:K228"/>
    <mergeCell ref="J284:K284"/>
    <mergeCell ref="J285:K285"/>
    <mergeCell ref="J286:K286"/>
    <mergeCell ref="J287:K287"/>
    <mergeCell ref="J288:K288"/>
    <mergeCell ref="J289:K289"/>
    <mergeCell ref="J290:K290"/>
    <mergeCell ref="J291:K291"/>
    <mergeCell ref="J292:K292"/>
    <mergeCell ref="J281:K281"/>
    <mergeCell ref="J282:K282"/>
    <mergeCell ref="J251:K251"/>
    <mergeCell ref="J252:K252"/>
    <mergeCell ref="J253:K253"/>
    <mergeCell ref="J254:K254"/>
    <mergeCell ref="J255:K255"/>
    <mergeCell ref="J256:K256"/>
    <mergeCell ref="J257:K257"/>
    <mergeCell ref="J258:K258"/>
    <mergeCell ref="J259:K259"/>
    <mergeCell ref="J260:K260"/>
    <mergeCell ref="J265:K265"/>
    <mergeCell ref="J266:K266"/>
    <mergeCell ref="J267:K267"/>
    <mergeCell ref="J268:K268"/>
    <mergeCell ref="J269:K269"/>
    <mergeCell ref="J270:K270"/>
    <mergeCell ref="J271:K271"/>
    <mergeCell ref="J262:K262"/>
    <mergeCell ref="J263:K263"/>
    <mergeCell ref="J264:K264"/>
    <mergeCell ref="J137:K137"/>
    <mergeCell ref="J138:K138"/>
    <mergeCell ref="J171:K171"/>
    <mergeCell ref="J172:K172"/>
    <mergeCell ref="J173:K173"/>
    <mergeCell ref="J174:K174"/>
    <mergeCell ref="J207:K207"/>
    <mergeCell ref="J208:K208"/>
    <mergeCell ref="J209:K209"/>
    <mergeCell ref="J210:K210"/>
    <mergeCell ref="J243:K243"/>
    <mergeCell ref="J244:K244"/>
    <mergeCell ref="J245:K245"/>
    <mergeCell ref="J246:K246"/>
    <mergeCell ref="J279:K279"/>
    <mergeCell ref="J272:K272"/>
    <mergeCell ref="J273:K273"/>
    <mergeCell ref="J274:K274"/>
    <mergeCell ref="J275:K275"/>
    <mergeCell ref="J276:K276"/>
    <mergeCell ref="J277:K277"/>
    <mergeCell ref="J278:K278"/>
    <mergeCell ref="J230:K230"/>
    <mergeCell ref="J231:K231"/>
    <mergeCell ref="J232:K232"/>
    <mergeCell ref="J233:K233"/>
    <mergeCell ref="J234:K234"/>
    <mergeCell ref="J235:K235"/>
    <mergeCell ref="J236:K236"/>
    <mergeCell ref="J237:K237"/>
    <mergeCell ref="J189:K189"/>
    <mergeCell ref="J190:K190"/>
    <mergeCell ref="J335:K335"/>
    <mergeCell ref="J336:K336"/>
    <mergeCell ref="J337:K337"/>
    <mergeCell ref="J338:K338"/>
    <mergeCell ref="J339:K339"/>
    <mergeCell ref="J340:K340"/>
    <mergeCell ref="J341:K341"/>
    <mergeCell ref="J342:K342"/>
    <mergeCell ref="J343:K343"/>
    <mergeCell ref="J344:K344"/>
    <mergeCell ref="J345:K345"/>
    <mergeCell ref="H319:I319"/>
    <mergeCell ref="H320:I320"/>
    <mergeCell ref="J280:K280"/>
    <mergeCell ref="J293:K293"/>
    <mergeCell ref="J294:K294"/>
    <mergeCell ref="J295:K295"/>
    <mergeCell ref="J296:K296"/>
    <mergeCell ref="J301:K301"/>
    <mergeCell ref="J302:K302"/>
    <mergeCell ref="J303:K303"/>
    <mergeCell ref="J304:K304"/>
    <mergeCell ref="J305:K305"/>
    <mergeCell ref="J306:K306"/>
    <mergeCell ref="J307:K307"/>
    <mergeCell ref="J308:K308"/>
    <mergeCell ref="J309:K309"/>
    <mergeCell ref="J310:K310"/>
    <mergeCell ref="J297:K297"/>
    <mergeCell ref="J298:K298"/>
    <mergeCell ref="J299:K299"/>
    <mergeCell ref="J283:K283"/>
    <mergeCell ref="L137:M137"/>
    <mergeCell ref="L138:M138"/>
    <mergeCell ref="L139:M139"/>
    <mergeCell ref="L140:M140"/>
    <mergeCell ref="L141:M141"/>
    <mergeCell ref="L142:M142"/>
    <mergeCell ref="L143:M143"/>
    <mergeCell ref="J153:K153"/>
    <mergeCell ref="J154:K154"/>
    <mergeCell ref="J155:K155"/>
    <mergeCell ref="J156:K156"/>
    <mergeCell ref="L147:M147"/>
    <mergeCell ref="L148:M148"/>
    <mergeCell ref="L149:M149"/>
    <mergeCell ref="L150:M150"/>
    <mergeCell ref="J225:K225"/>
    <mergeCell ref="J226:K226"/>
    <mergeCell ref="L157:M157"/>
    <mergeCell ref="L158:M158"/>
    <mergeCell ref="L159:M159"/>
    <mergeCell ref="L160:M160"/>
    <mergeCell ref="L161:M161"/>
    <mergeCell ref="L162:M162"/>
    <mergeCell ref="L163:M163"/>
    <mergeCell ref="L151:M151"/>
    <mergeCell ref="L152:M152"/>
    <mergeCell ref="L153:M153"/>
    <mergeCell ref="L154:M154"/>
    <mergeCell ref="L155:M155"/>
    <mergeCell ref="L156:M156"/>
    <mergeCell ref="L164:M164"/>
    <mergeCell ref="L193:M193"/>
    <mergeCell ref="L219:M219"/>
    <mergeCell ref="L220:M220"/>
    <mergeCell ref="L221:M221"/>
    <mergeCell ref="L222:M222"/>
    <mergeCell ref="L223:M223"/>
    <mergeCell ref="L224:M224"/>
    <mergeCell ref="L225:M225"/>
    <mergeCell ref="L226:M226"/>
    <mergeCell ref="L227:M227"/>
    <mergeCell ref="L228:M228"/>
    <mergeCell ref="L213:M213"/>
    <mergeCell ref="L214:M214"/>
    <mergeCell ref="L215:M215"/>
    <mergeCell ref="L216:M216"/>
    <mergeCell ref="L217:M217"/>
    <mergeCell ref="L218:M218"/>
    <mergeCell ref="J261:K261"/>
    <mergeCell ref="L255:M255"/>
    <mergeCell ref="L256:M256"/>
    <mergeCell ref="L257:M257"/>
    <mergeCell ref="L258:M258"/>
    <mergeCell ref="L259:M259"/>
    <mergeCell ref="L260:M260"/>
    <mergeCell ref="L261:M261"/>
    <mergeCell ref="L229:M229"/>
    <mergeCell ref="L230:M230"/>
    <mergeCell ref="L231:M231"/>
    <mergeCell ref="L232:M232"/>
    <mergeCell ref="L233:M233"/>
    <mergeCell ref="L234:M234"/>
    <mergeCell ref="L235:M235"/>
    <mergeCell ref="L236:M236"/>
    <mergeCell ref="J300:K300"/>
    <mergeCell ref="J315:K315"/>
    <mergeCell ref="J316:K316"/>
    <mergeCell ref="J317:K317"/>
    <mergeCell ref="L291:M291"/>
    <mergeCell ref="L292:M292"/>
    <mergeCell ref="L299:M299"/>
    <mergeCell ref="L300:M300"/>
    <mergeCell ref="L301:M301"/>
    <mergeCell ref="L302:M302"/>
    <mergeCell ref="L303:M303"/>
    <mergeCell ref="L304:M304"/>
    <mergeCell ref="L305:M305"/>
    <mergeCell ref="L306:M306"/>
    <mergeCell ref="L307:M307"/>
    <mergeCell ref="L308:M308"/>
    <mergeCell ref="L309:M309"/>
    <mergeCell ref="L310:M310"/>
    <mergeCell ref="J311:K311"/>
    <mergeCell ref="J312:K312"/>
    <mergeCell ref="J314:K314"/>
    <mergeCell ref="J313:K313"/>
    <mergeCell ref="L237:M237"/>
    <mergeCell ref="L238:M238"/>
    <mergeCell ref="L239:M239"/>
    <mergeCell ref="L240:M240"/>
    <mergeCell ref="L241:M241"/>
    <mergeCell ref="L242:M242"/>
    <mergeCell ref="L243:M243"/>
    <mergeCell ref="L244:M244"/>
    <mergeCell ref="L245:M245"/>
    <mergeCell ref="L246:M246"/>
    <mergeCell ref="L209:M209"/>
    <mergeCell ref="L210:M210"/>
    <mergeCell ref="N197:O197"/>
    <mergeCell ref="N198:O198"/>
    <mergeCell ref="N199:O199"/>
    <mergeCell ref="N200:O200"/>
    <mergeCell ref="N207:O207"/>
    <mergeCell ref="N227:O227"/>
    <mergeCell ref="N228:O228"/>
    <mergeCell ref="N229:O229"/>
    <mergeCell ref="N230:O230"/>
    <mergeCell ref="N231:O231"/>
    <mergeCell ref="N232:O232"/>
    <mergeCell ref="N234:O234"/>
    <mergeCell ref="N235:O235"/>
    <mergeCell ref="N236:O236"/>
    <mergeCell ref="N260:O260"/>
    <mergeCell ref="N261:O261"/>
    <mergeCell ref="N262:O262"/>
    <mergeCell ref="N263:O263"/>
    <mergeCell ref="N264:O264"/>
    <mergeCell ref="N160:O160"/>
    <mergeCell ref="L175:M175"/>
    <mergeCell ref="L176:M176"/>
    <mergeCell ref="L177:M177"/>
    <mergeCell ref="L178:M178"/>
    <mergeCell ref="L179:M179"/>
    <mergeCell ref="L180:M180"/>
    <mergeCell ref="L181:M181"/>
    <mergeCell ref="L182:M182"/>
    <mergeCell ref="N178:O178"/>
    <mergeCell ref="N179:O179"/>
    <mergeCell ref="N180:O180"/>
    <mergeCell ref="N181:O181"/>
    <mergeCell ref="N182:O182"/>
    <mergeCell ref="L165:M165"/>
    <mergeCell ref="L166:M166"/>
    <mergeCell ref="L167:M167"/>
    <mergeCell ref="L168:M168"/>
    <mergeCell ref="L169:M169"/>
    <mergeCell ref="L170:M170"/>
    <mergeCell ref="L171:M171"/>
    <mergeCell ref="L172:M172"/>
    <mergeCell ref="L173:M173"/>
    <mergeCell ref="L174:M174"/>
    <mergeCell ref="N172:O172"/>
    <mergeCell ref="N173:O173"/>
    <mergeCell ref="N174:O174"/>
    <mergeCell ref="N175:O175"/>
    <mergeCell ref="N176:O176"/>
    <mergeCell ref="N177:O177"/>
    <mergeCell ref="L194:M194"/>
    <mergeCell ref="L195:M195"/>
    <mergeCell ref="L196:M196"/>
    <mergeCell ref="L197:M197"/>
    <mergeCell ref="L198:M198"/>
    <mergeCell ref="L199:M199"/>
    <mergeCell ref="L200:M200"/>
    <mergeCell ref="N201:O201"/>
    <mergeCell ref="N202:O202"/>
    <mergeCell ref="N203:O203"/>
    <mergeCell ref="N204:O204"/>
    <mergeCell ref="N205:O205"/>
    <mergeCell ref="N206:O206"/>
    <mergeCell ref="L211:M211"/>
    <mergeCell ref="L212:M212"/>
    <mergeCell ref="L201:M201"/>
    <mergeCell ref="L202:M202"/>
    <mergeCell ref="L203:M203"/>
    <mergeCell ref="L204:M204"/>
    <mergeCell ref="L205:M205"/>
    <mergeCell ref="L206:M206"/>
    <mergeCell ref="L207:M207"/>
    <mergeCell ref="L208:M208"/>
    <mergeCell ref="N211:O211"/>
    <mergeCell ref="N212:O212"/>
    <mergeCell ref="N237:O237"/>
    <mergeCell ref="N238:O238"/>
    <mergeCell ref="N239:O239"/>
    <mergeCell ref="N240:O240"/>
    <mergeCell ref="N241:O241"/>
    <mergeCell ref="N242:O242"/>
    <mergeCell ref="N243:O243"/>
    <mergeCell ref="N244:O244"/>
    <mergeCell ref="N245:O245"/>
    <mergeCell ref="N246:O246"/>
    <mergeCell ref="N247:O247"/>
    <mergeCell ref="N248:O248"/>
    <mergeCell ref="L276:M276"/>
    <mergeCell ref="L277:M277"/>
    <mergeCell ref="L278:M278"/>
    <mergeCell ref="L279:M279"/>
    <mergeCell ref="L280:M280"/>
    <mergeCell ref="L262:M262"/>
    <mergeCell ref="L263:M263"/>
    <mergeCell ref="L264:M264"/>
    <mergeCell ref="L247:M247"/>
    <mergeCell ref="L248:M248"/>
    <mergeCell ref="L249:M249"/>
    <mergeCell ref="L250:M250"/>
    <mergeCell ref="L251:M251"/>
    <mergeCell ref="L252:M252"/>
    <mergeCell ref="L253:M253"/>
    <mergeCell ref="L254:M254"/>
    <mergeCell ref="N257:O257"/>
    <mergeCell ref="N258:O258"/>
    <mergeCell ref="N259:O259"/>
    <mergeCell ref="N272:O272"/>
    <mergeCell ref="L281:M281"/>
    <mergeCell ref="L282:M282"/>
    <mergeCell ref="L265:M265"/>
    <mergeCell ref="L266:M266"/>
    <mergeCell ref="L267:M267"/>
    <mergeCell ref="L268:M268"/>
    <mergeCell ref="L269:M269"/>
    <mergeCell ref="L270:M270"/>
    <mergeCell ref="L271:M271"/>
    <mergeCell ref="L272:M272"/>
    <mergeCell ref="N273:O273"/>
    <mergeCell ref="N274:O274"/>
    <mergeCell ref="N275:O275"/>
    <mergeCell ref="L273:M273"/>
    <mergeCell ref="L274:M274"/>
    <mergeCell ref="L275:M275"/>
    <mergeCell ref="N295:O295"/>
    <mergeCell ref="N279:O279"/>
    <mergeCell ref="N280:O280"/>
    <mergeCell ref="N281:O281"/>
    <mergeCell ref="N282:O282"/>
    <mergeCell ref="N283:O283"/>
    <mergeCell ref="N276:O276"/>
    <mergeCell ref="N277:O277"/>
    <mergeCell ref="N278:O278"/>
    <mergeCell ref="N265:O265"/>
    <mergeCell ref="N266:O266"/>
    <mergeCell ref="N267:O267"/>
    <mergeCell ref="N268:O268"/>
    <mergeCell ref="N269:O269"/>
    <mergeCell ref="N270:O270"/>
    <mergeCell ref="N271:O271"/>
    <mergeCell ref="N296:O296"/>
    <mergeCell ref="N297:O297"/>
    <mergeCell ref="N298:O298"/>
    <mergeCell ref="L283:M283"/>
    <mergeCell ref="L284:M284"/>
    <mergeCell ref="L285:M285"/>
    <mergeCell ref="L286:M286"/>
    <mergeCell ref="L287:M287"/>
    <mergeCell ref="L288:M288"/>
    <mergeCell ref="L289:M289"/>
    <mergeCell ref="L290:M290"/>
    <mergeCell ref="L293:M293"/>
    <mergeCell ref="L294:M294"/>
    <mergeCell ref="L295:M295"/>
    <mergeCell ref="L296:M296"/>
    <mergeCell ref="L297:M297"/>
    <mergeCell ref="L298:M298"/>
    <mergeCell ref="N284:O284"/>
    <mergeCell ref="N285:O285"/>
    <mergeCell ref="N286:O286"/>
    <mergeCell ref="N287:O287"/>
    <mergeCell ref="N288:O288"/>
    <mergeCell ref="N289:O289"/>
    <mergeCell ref="N290:O290"/>
    <mergeCell ref="N291:O291"/>
    <mergeCell ref="N292:O292"/>
    <mergeCell ref="N293:O293"/>
    <mergeCell ref="N294:O294"/>
  </mergeCells>
  <conditionalFormatting sqref="J119:J348 L119:L348 N119:N348">
    <cfRule type="expression" dxfId="13" priority="1">
      <formula>$A119="WHITE"</formula>
    </cfRule>
  </conditionalFormatting>
  <conditionalFormatting sqref="J8:O8">
    <cfRule type="expression" dxfId="12" priority="3">
      <formula>$N$7="Similar to FD"</formula>
    </cfRule>
  </conditionalFormatting>
  <conditionalFormatting sqref="R12:W12">
    <cfRule type="expression" dxfId="11" priority="2">
      <formula>OR($N$5="Specified",$N$5="Equity")</formula>
    </cfRule>
  </conditionalFormatting>
  <dataValidations count="4">
    <dataValidation type="list" operator="lessThanOrEqual" allowBlank="1" showInputMessage="1" showErrorMessage="1" errorTitle="ERROR!!" error="No. of years cannot be more than 50!" sqref="H8" xr:uid="{BB836BB1-32A4-486B-9E14-612B31E5CC66}">
      <formula1>TaxSlab</formula1>
    </dataValidation>
    <dataValidation type="list" allowBlank="1" showInputMessage="1" showErrorMessage="1" sqref="N5" xr:uid="{D35A4E4C-18A6-48FD-900D-015942B689CE}">
      <formula1>MF_TYPES</formula1>
    </dataValidation>
    <dataValidation type="list" allowBlank="1" showInputMessage="1" showErrorMessage="1" sqref="N7" xr:uid="{8BB50E48-E6EA-41B6-AA19-D762B04CD682}">
      <formula1>"Similar to FD, Diff. than FD"</formula1>
    </dataValidation>
    <dataValidation type="whole" allowBlank="1" showInputMessage="1" showErrorMessage="1" errorTitle="Error!" error="No. of years cannot be 0 or more than 25." sqref="H12:I12" xr:uid="{3F2D2F39-257A-4696-93BF-9BF40B5EE133}">
      <formula1>1</formula1>
      <formula2>25</formula2>
    </dataValidation>
  </dataValidations>
  <hyperlinks>
    <hyperlink ref="A2:A3" location="'Main Menu'!A1" tooltip="HOME" display="BACK" xr:uid="{0AB89423-1145-4A75-A8E0-04A84E4B6F60}"/>
  </hyperlinks>
  <printOptions horizontalCentered="1"/>
  <pageMargins left="0.23622047244094491" right="0.23622047244094491" top="0.23622047244094491" bottom="0.23622047244094491"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221C-20DA-4108-9A82-1A4303D1387E}">
  <dimension ref="A1:R59"/>
  <sheetViews>
    <sheetView showGridLines="0" zoomScaleNormal="100" zoomScaleSheetLayoutView="70" workbookViewId="0">
      <selection activeCell="A2" sqref="A2:A3"/>
    </sheetView>
  </sheetViews>
  <sheetFormatPr defaultColWidth="0" defaultRowHeight="14.5" customHeight="1" zeroHeight="1" x14ac:dyDescent="0.35"/>
  <cols>
    <col min="1" max="15" width="9.1796875" style="6" customWidth="1"/>
    <col min="16" max="16384" width="9.1796875" style="6" hidden="1"/>
  </cols>
  <sheetData>
    <row r="1" spans="1:15" x14ac:dyDescent="0.35"/>
    <row r="2" spans="1:15" ht="14.5" customHeight="1" x14ac:dyDescent="0.35">
      <c r="A2" s="289" t="s">
        <v>5</v>
      </c>
      <c r="B2" s="290" t="s">
        <v>87</v>
      </c>
      <c r="C2" s="290"/>
      <c r="D2" s="290"/>
      <c r="E2" s="290"/>
      <c r="F2" s="290"/>
      <c r="G2" s="290"/>
      <c r="H2" s="290"/>
      <c r="N2"/>
      <c r="O2"/>
    </row>
    <row r="3" spans="1:15" ht="14.5" customHeight="1" x14ac:dyDescent="0.35">
      <c r="A3" s="289"/>
      <c r="B3" s="291"/>
      <c r="C3" s="291"/>
      <c r="D3" s="291"/>
      <c r="E3" s="291"/>
      <c r="F3" s="291"/>
      <c r="G3" s="291"/>
      <c r="H3" s="291"/>
      <c r="N3"/>
      <c r="O3"/>
    </row>
    <row r="4" spans="1:15" x14ac:dyDescent="0.35"/>
    <row r="5" spans="1:15" ht="20.149999999999999" customHeight="1" x14ac:dyDescent="0.35">
      <c r="B5" s="7" t="s">
        <v>88</v>
      </c>
      <c r="C5" s="11"/>
      <c r="D5" s="11"/>
      <c r="E5" s="11"/>
      <c r="F5" s="11"/>
      <c r="G5" s="293">
        <v>1000000</v>
      </c>
      <c r="H5" s="294"/>
      <c r="J5" s="519" t="s">
        <v>89</v>
      </c>
      <c r="K5" s="519"/>
      <c r="L5" s="519"/>
      <c r="M5" s="519"/>
      <c r="N5" s="23"/>
    </row>
    <row r="6" spans="1:15" ht="20.149999999999999" customHeight="1" x14ac:dyDescent="0.35">
      <c r="B6" s="7" t="s">
        <v>362</v>
      </c>
      <c r="C6" s="11"/>
      <c r="D6" s="11"/>
      <c r="E6" s="11"/>
      <c r="F6" s="11"/>
      <c r="G6" s="520">
        <v>7.0000000000000007E-2</v>
      </c>
      <c r="H6" s="521"/>
      <c r="J6" s="519"/>
      <c r="K6" s="519"/>
      <c r="L6" s="519"/>
      <c r="M6" s="519"/>
      <c r="N6" s="23"/>
    </row>
    <row r="7" spans="1:15" ht="20.149999999999999" customHeight="1" x14ac:dyDescent="0.35">
      <c r="B7" s="7" t="s">
        <v>286</v>
      </c>
      <c r="C7" s="11"/>
      <c r="D7" s="11"/>
      <c r="E7" s="11"/>
      <c r="F7" s="11"/>
      <c r="G7" s="520">
        <v>7.0000000000000007E-2</v>
      </c>
      <c r="H7" s="521"/>
      <c r="J7" s="527" t="s">
        <v>90</v>
      </c>
      <c r="K7" s="527"/>
      <c r="L7" s="527" t="s">
        <v>91</v>
      </c>
      <c r="M7" s="527"/>
    </row>
    <row r="8" spans="1:15" ht="20.149999999999999" customHeight="1" x14ac:dyDescent="0.35">
      <c r="B8" s="7" t="s">
        <v>60</v>
      </c>
      <c r="C8" s="11"/>
      <c r="D8" s="11"/>
      <c r="E8" s="11"/>
      <c r="F8" s="11"/>
      <c r="G8" s="280">
        <v>0.312</v>
      </c>
      <c r="H8" s="281"/>
      <c r="J8" s="528">
        <f>IF(J19&lt;=0,"",RATE(J19,,-J17,J28))</f>
        <v>6.4600398584379534E-2</v>
      </c>
      <c r="K8" s="529"/>
      <c r="L8" s="528">
        <f>IF(L19&lt;=0,"",RATE(L19,,-L17,L28))</f>
        <v>5.1028586570551093E-2</v>
      </c>
      <c r="M8" s="529"/>
    </row>
    <row r="9" spans="1:15" ht="20.149999999999999" customHeight="1" x14ac:dyDescent="0.35">
      <c r="B9" s="7" t="s">
        <v>285</v>
      </c>
      <c r="C9" s="10"/>
      <c r="D9" s="10"/>
      <c r="E9" s="10"/>
      <c r="F9" s="11"/>
      <c r="G9" s="525" t="s">
        <v>92</v>
      </c>
      <c r="H9" s="526"/>
      <c r="J9" s="522" t="s">
        <v>287</v>
      </c>
      <c r="K9" s="522"/>
      <c r="L9" s="522"/>
      <c r="M9" s="522"/>
    </row>
    <row r="10" spans="1:15" ht="20.149999999999999" customHeight="1" x14ac:dyDescent="0.35">
      <c r="B10" s="7" t="s">
        <v>284</v>
      </c>
      <c r="C10" s="11"/>
      <c r="D10" s="11"/>
      <c r="E10" s="11"/>
      <c r="F10" s="11"/>
      <c r="G10" s="523" t="s">
        <v>306</v>
      </c>
      <c r="H10" s="524"/>
      <c r="J10" s="522"/>
      <c r="K10" s="522"/>
      <c r="L10" s="522"/>
      <c r="M10" s="522"/>
    </row>
    <row r="11" spans="1:15" ht="20.149999999999999" customHeight="1" x14ac:dyDescent="0.35">
      <c r="B11" s="21" t="str">
        <f>IF(J19&lt;=0,"*SALE FY cannot be same or earlier than the PURCHASE FY!",IF(J19&gt;=3,"","*You're not entitled for Long term Capital Gain as investment tenure is less than 3 years"))</f>
        <v/>
      </c>
    </row>
    <row r="12" spans="1:15" ht="20.149999999999999" customHeight="1" x14ac:dyDescent="0.35">
      <c r="B12" s="9" t="s">
        <v>255</v>
      </c>
      <c r="C12" s="9"/>
      <c r="D12" s="100" t="str">
        <f>" "&amp;UPPER('Main Menu'!C29)</f>
        <v xml:space="preserve"> CLIENT NAME</v>
      </c>
      <c r="E12" s="100"/>
      <c r="F12" s="100"/>
      <c r="G12" s="100"/>
      <c r="H12" s="100"/>
      <c r="I12"/>
      <c r="J12"/>
      <c r="K12"/>
      <c r="L12"/>
    </row>
    <row r="13" spans="1:15" ht="20.149999999999999" customHeight="1" x14ac:dyDescent="0.35">
      <c r="B13" s="9" t="s">
        <v>307</v>
      </c>
      <c r="C13" s="9"/>
      <c r="D13" s="101" t="str">
        <f>" "&amp;UPPER('Main Menu'!L29)</f>
        <v xml:space="preserve"> PARTNER NAME</v>
      </c>
      <c r="E13" s="101"/>
      <c r="F13" s="101"/>
      <c r="G13" s="101"/>
      <c r="H13" s="101"/>
      <c r="I13"/>
      <c r="K13"/>
      <c r="L13" s="53" t="str">
        <f ca="1">"Dated: "&amp; TEXT(TODAY(),"DD-MMM-YYYY")</f>
        <v>Dated: 28-Aug-2025</v>
      </c>
    </row>
    <row r="14" spans="1:15" ht="20.149999999999999" customHeight="1" x14ac:dyDescent="0.35">
      <c r="B14" s="496" t="s">
        <v>273</v>
      </c>
      <c r="C14" s="497"/>
      <c r="D14" s="497"/>
      <c r="E14" s="497"/>
      <c r="F14" s="497"/>
      <c r="G14" s="497"/>
      <c r="H14" s="497"/>
      <c r="I14" s="497"/>
      <c r="J14" s="497"/>
      <c r="K14" s="497"/>
      <c r="L14" s="497"/>
      <c r="M14" s="498"/>
    </row>
    <row r="15" spans="1:15" ht="20.149999999999999" customHeight="1" x14ac:dyDescent="0.35">
      <c r="B15" s="499"/>
      <c r="C15" s="500"/>
      <c r="D15" s="500"/>
      <c r="E15" s="500"/>
      <c r="F15" s="500"/>
      <c r="G15" s="500"/>
      <c r="H15" s="500"/>
      <c r="I15" s="500"/>
      <c r="J15" s="500"/>
      <c r="K15" s="500"/>
      <c r="L15" s="500"/>
      <c r="M15" s="501"/>
    </row>
    <row r="16" spans="1:15" ht="20.149999999999999" customHeight="1" x14ac:dyDescent="0.35">
      <c r="B16" s="482" t="s">
        <v>94</v>
      </c>
      <c r="C16" s="483"/>
      <c r="D16" s="483"/>
      <c r="E16" s="483"/>
      <c r="F16" s="483"/>
      <c r="G16" s="483"/>
      <c r="H16" s="483"/>
      <c r="I16" s="484"/>
      <c r="J16" s="504" t="s">
        <v>95</v>
      </c>
      <c r="K16" s="505"/>
      <c r="L16" s="504" t="s">
        <v>91</v>
      </c>
      <c r="M16" s="505"/>
    </row>
    <row r="17" spans="2:18" ht="20.149999999999999" customHeight="1" x14ac:dyDescent="0.35">
      <c r="B17" s="485" t="s">
        <v>97</v>
      </c>
      <c r="C17" s="486"/>
      <c r="D17" s="486"/>
      <c r="E17" s="486"/>
      <c r="F17" s="486"/>
      <c r="G17" s="486"/>
      <c r="H17" s="486"/>
      <c r="I17" s="487"/>
      <c r="J17" s="506">
        <f>G5</f>
        <v>1000000</v>
      </c>
      <c r="K17" s="507"/>
      <c r="L17" s="506">
        <f>G5</f>
        <v>1000000</v>
      </c>
      <c r="M17" s="507"/>
      <c r="P17" s="24" t="s">
        <v>22</v>
      </c>
      <c r="Q17" s="24" t="s">
        <v>96</v>
      </c>
      <c r="R17" s="25" t="s">
        <v>9</v>
      </c>
    </row>
    <row r="18" spans="2:18" ht="20.149999999999999" customHeight="1" x14ac:dyDescent="0.35">
      <c r="B18" s="488" t="s">
        <v>288</v>
      </c>
      <c r="C18" s="489"/>
      <c r="D18" s="489"/>
      <c r="E18" s="489"/>
      <c r="F18" s="489"/>
      <c r="G18" s="489"/>
      <c r="H18" s="489"/>
      <c r="I18" s="490"/>
      <c r="J18" s="508">
        <f>G6</f>
        <v>7.0000000000000007E-2</v>
      </c>
      <c r="K18" s="509"/>
      <c r="L18" s="508">
        <f>G7</f>
        <v>7.0000000000000007E-2</v>
      </c>
      <c r="M18" s="509"/>
      <c r="P18" s="5" t="s">
        <v>98</v>
      </c>
      <c r="Q18" s="26">
        <v>100</v>
      </c>
      <c r="R18" s="5">
        <f t="shared" ref="R18:R40" si="0">IF(ISNUMBER(R17),R17+1,0+1)</f>
        <v>1</v>
      </c>
    </row>
    <row r="19" spans="2:18" ht="20.149999999999999" customHeight="1" x14ac:dyDescent="0.35">
      <c r="B19" s="282" t="s">
        <v>100</v>
      </c>
      <c r="C19" s="283"/>
      <c r="D19" s="283"/>
      <c r="E19" s="283"/>
      <c r="F19" s="283"/>
      <c r="G19" s="283"/>
      <c r="H19" s="283"/>
      <c r="I19" s="491"/>
      <c r="J19" s="502">
        <f>VLOOKUP(G10,CII[],3,0) - VLOOKUP(G9,CII[],3,0)</f>
        <v>7</v>
      </c>
      <c r="K19" s="503"/>
      <c r="L19" s="502">
        <f>VLOOKUP(G10,CII[],3,0) - VLOOKUP(G9,CII[],3,0)</f>
        <v>7</v>
      </c>
      <c r="M19" s="503"/>
      <c r="P19" s="5" t="s">
        <v>99</v>
      </c>
      <c r="Q19" s="26">
        <v>105</v>
      </c>
      <c r="R19" s="5">
        <f t="shared" si="0"/>
        <v>2</v>
      </c>
    </row>
    <row r="20" spans="2:18" s="9" customFormat="1" ht="20.149999999999999" customHeight="1" x14ac:dyDescent="0.35">
      <c r="B20" s="488" t="s">
        <v>102</v>
      </c>
      <c r="C20" s="489"/>
      <c r="D20" s="489"/>
      <c r="E20" s="489"/>
      <c r="F20" s="489"/>
      <c r="G20" s="489"/>
      <c r="H20" s="489"/>
      <c r="I20" s="490"/>
      <c r="J20" s="494">
        <f>IF(J19&lt;=0,"",FV(J18,J19,,-J17))</f>
        <v>1605781.4764784302</v>
      </c>
      <c r="K20" s="495"/>
      <c r="L20" s="494">
        <f>IF(L19&lt;=0,"",FV(L18,L19,,-L17))</f>
        <v>1605781.4764784302</v>
      </c>
      <c r="M20" s="495"/>
      <c r="P20" s="5" t="s">
        <v>101</v>
      </c>
      <c r="Q20" s="26">
        <v>109</v>
      </c>
      <c r="R20" s="5">
        <f t="shared" si="0"/>
        <v>3</v>
      </c>
    </row>
    <row r="21" spans="2:18" s="9" customFormat="1" ht="20.149999999999999" customHeight="1" x14ac:dyDescent="0.35">
      <c r="B21" s="282" t="s">
        <v>104</v>
      </c>
      <c r="C21" s="283"/>
      <c r="D21" s="283"/>
      <c r="E21" s="283"/>
      <c r="F21" s="283"/>
      <c r="G21" s="283"/>
      <c r="H21" s="283"/>
      <c r="I21" s="491"/>
      <c r="J21" s="512" t="s">
        <v>105</v>
      </c>
      <c r="K21" s="513"/>
      <c r="L21" s="353">
        <f t="shared" ref="L21" si="1">IF(L19&lt;=0,"",L20-L17)</f>
        <v>605781.47647843021</v>
      </c>
      <c r="M21" s="354"/>
      <c r="P21" s="5" t="s">
        <v>103</v>
      </c>
      <c r="Q21" s="26">
        <v>113</v>
      </c>
      <c r="R21" s="5">
        <f t="shared" si="0"/>
        <v>4</v>
      </c>
    </row>
    <row r="22" spans="2:18" s="9" customFormat="1" ht="20.149999999999999" customHeight="1" x14ac:dyDescent="0.35">
      <c r="B22" s="488" t="str">
        <f>IF(J19&gt;=3,"Long Term Capital Gain Before Indexation","Short Term Capital Gain")</f>
        <v>Long Term Capital Gain Before Indexation</v>
      </c>
      <c r="C22" s="489"/>
      <c r="D22" s="489"/>
      <c r="E22" s="489"/>
      <c r="F22" s="489"/>
      <c r="G22" s="489"/>
      <c r="H22" s="489"/>
      <c r="I22" s="490"/>
      <c r="J22" s="494">
        <f>IF(J19&lt;=0,"",(J20-J17))</f>
        <v>605781.47647843021</v>
      </c>
      <c r="K22" s="495"/>
      <c r="L22" s="510" t="s">
        <v>105</v>
      </c>
      <c r="M22" s="511"/>
      <c r="P22" s="5" t="s">
        <v>106</v>
      </c>
      <c r="Q22" s="26">
        <v>117</v>
      </c>
      <c r="R22" s="5">
        <f t="shared" si="0"/>
        <v>5</v>
      </c>
    </row>
    <row r="23" spans="2:18" s="9" customFormat="1" ht="20.149999999999999" customHeight="1" x14ac:dyDescent="0.35">
      <c r="B23" s="282" t="str">
        <f>IF(J19&gt;=3,"Indexed Cost of Acquisition","Cost of Acquisition")</f>
        <v>Indexed Cost of Acquisition</v>
      </c>
      <c r="C23" s="283"/>
      <c r="D23" s="283"/>
      <c r="E23" s="283"/>
      <c r="F23" s="283"/>
      <c r="G23" s="283"/>
      <c r="H23" s="283"/>
      <c r="I23" s="491"/>
      <c r="J23" s="502">
        <f>IF(J19&lt;=0,"",IF(J19&gt;=3,J17*(VLOOKUP(G10,CII[],2,0)/VLOOKUP(G9,CII[],2,0)),J17))</f>
        <v>1334558.8235294116</v>
      </c>
      <c r="K23" s="503"/>
      <c r="L23" s="512" t="s">
        <v>105</v>
      </c>
      <c r="M23" s="513"/>
      <c r="P23" s="5" t="s">
        <v>107</v>
      </c>
      <c r="Q23" s="26">
        <v>122</v>
      </c>
      <c r="R23" s="5">
        <f t="shared" si="0"/>
        <v>6</v>
      </c>
    </row>
    <row r="24" spans="2:18" s="9" customFormat="1" ht="20.149999999999999" customHeight="1" x14ac:dyDescent="0.35">
      <c r="B24" s="488" t="str">
        <f>IF(J19&gt;=3,"Long Term Capital Gain After Indexation","Short Term Capital Gain")</f>
        <v>Long Term Capital Gain After Indexation</v>
      </c>
      <c r="C24" s="489"/>
      <c r="D24" s="489"/>
      <c r="E24" s="489"/>
      <c r="F24" s="489"/>
      <c r="G24" s="489"/>
      <c r="H24" s="489"/>
      <c r="I24" s="490"/>
      <c r="J24" s="516">
        <f t="shared" ref="J24" si="2">IF(J19&lt;=0,"",J20-J23)</f>
        <v>271222.65294901864</v>
      </c>
      <c r="K24" s="517"/>
      <c r="L24" s="510" t="s">
        <v>105</v>
      </c>
      <c r="M24" s="511"/>
      <c r="P24" s="5" t="s">
        <v>108</v>
      </c>
      <c r="Q24" s="26">
        <v>129</v>
      </c>
      <c r="R24" s="5">
        <f t="shared" si="0"/>
        <v>7</v>
      </c>
    </row>
    <row r="25" spans="2:18" s="9" customFormat="1" ht="20.149999999999999" customHeight="1" x14ac:dyDescent="0.35">
      <c r="B25" s="282" t="s">
        <v>110</v>
      </c>
      <c r="C25" s="283"/>
      <c r="D25" s="283"/>
      <c r="E25" s="283"/>
      <c r="F25" s="283"/>
      <c r="G25" s="283"/>
      <c r="H25" s="283"/>
      <c r="I25" s="491"/>
      <c r="J25" s="492">
        <f>IF(J19&gt;=3,20.6%,G8)</f>
        <v>0.20600000000000002</v>
      </c>
      <c r="K25" s="493"/>
      <c r="L25" s="514">
        <f>G8</f>
        <v>0.312</v>
      </c>
      <c r="M25" s="515"/>
      <c r="P25" s="5" t="s">
        <v>109</v>
      </c>
      <c r="Q25" s="26">
        <v>137</v>
      </c>
      <c r="R25" s="5">
        <f t="shared" si="0"/>
        <v>8</v>
      </c>
    </row>
    <row r="26" spans="2:18" s="9" customFormat="1" ht="20.149999999999999" customHeight="1" x14ac:dyDescent="0.35">
      <c r="B26" s="488" t="s">
        <v>112</v>
      </c>
      <c r="C26" s="489"/>
      <c r="D26" s="489"/>
      <c r="E26" s="489"/>
      <c r="F26" s="489"/>
      <c r="G26" s="489"/>
      <c r="H26" s="489"/>
      <c r="I26" s="490"/>
      <c r="J26" s="494">
        <f>IF(J19&lt;=0,"",J25*J24)</f>
        <v>55871.866507497842</v>
      </c>
      <c r="K26" s="495"/>
      <c r="L26" s="494">
        <f t="shared" ref="L26" si="3">IF(L19&lt;=0,"",L25*L21)</f>
        <v>189003.82066127023</v>
      </c>
      <c r="M26" s="495"/>
      <c r="P26" s="5" t="s">
        <v>111</v>
      </c>
      <c r="Q26" s="26">
        <v>148</v>
      </c>
      <c r="R26" s="5">
        <f t="shared" si="0"/>
        <v>9</v>
      </c>
    </row>
    <row r="27" spans="2:18" s="9" customFormat="1" ht="20.149999999999999" customHeight="1" x14ac:dyDescent="0.35">
      <c r="B27" s="282" t="s">
        <v>114</v>
      </c>
      <c r="C27" s="283"/>
      <c r="D27" s="283"/>
      <c r="E27" s="283"/>
      <c r="F27" s="283"/>
      <c r="G27" s="283"/>
      <c r="H27" s="283"/>
      <c r="I27" s="491"/>
      <c r="J27" s="502">
        <f t="shared" ref="J27" si="4">IF(J19&lt;=0,"",J22-J26)</f>
        <v>549909.60997093236</v>
      </c>
      <c r="K27" s="503"/>
      <c r="L27" s="502">
        <f>IF(L19&lt;=0,"",L21-L26)</f>
        <v>416777.65581715998</v>
      </c>
      <c r="M27" s="503"/>
      <c r="P27" s="5" t="s">
        <v>113</v>
      </c>
      <c r="Q27" s="26">
        <v>167</v>
      </c>
      <c r="R27" s="5">
        <f t="shared" si="0"/>
        <v>10</v>
      </c>
    </row>
    <row r="28" spans="2:18" s="9" customFormat="1" ht="20.149999999999999" customHeight="1" x14ac:dyDescent="0.35">
      <c r="B28" s="488" t="s">
        <v>116</v>
      </c>
      <c r="C28" s="489"/>
      <c r="D28" s="489"/>
      <c r="E28" s="489"/>
      <c r="F28" s="489"/>
      <c r="G28" s="489"/>
      <c r="H28" s="489"/>
      <c r="I28" s="490"/>
      <c r="J28" s="480">
        <f>IF(J19&lt;=0,"",J17+J27)</f>
        <v>1549909.6099709324</v>
      </c>
      <c r="K28" s="481"/>
      <c r="L28" s="480">
        <f>IF(L19&lt;=0,"",L17+L27)</f>
        <v>1416777.6558171599</v>
      </c>
      <c r="M28" s="481"/>
      <c r="P28" s="5" t="s">
        <v>115</v>
      </c>
      <c r="Q28" s="26">
        <v>184</v>
      </c>
      <c r="R28" s="5">
        <f t="shared" si="0"/>
        <v>11</v>
      </c>
    </row>
    <row r="29" spans="2:18" s="9" customFormat="1" ht="7" customHeight="1" x14ac:dyDescent="0.35">
      <c r="B29" s="12"/>
      <c r="C29" s="12"/>
      <c r="D29" s="12"/>
      <c r="E29" s="12"/>
      <c r="F29" s="12"/>
      <c r="G29" s="518"/>
      <c r="H29" s="518"/>
      <c r="I29" s="518"/>
      <c r="J29" s="518"/>
      <c r="P29" s="5" t="s">
        <v>117</v>
      </c>
      <c r="Q29" s="26">
        <v>200</v>
      </c>
      <c r="R29" s="5">
        <f t="shared" si="0"/>
        <v>12</v>
      </c>
    </row>
    <row r="30" spans="2:18" s="9" customFormat="1" ht="20.149999999999999" hidden="1" customHeight="1" x14ac:dyDescent="0.35">
      <c r="P30" s="5" t="s">
        <v>118</v>
      </c>
      <c r="Q30" s="26">
        <v>220</v>
      </c>
      <c r="R30" s="5">
        <f t="shared" si="0"/>
        <v>13</v>
      </c>
    </row>
    <row r="31" spans="2:18" s="9" customFormat="1" ht="20.149999999999999" hidden="1" customHeight="1" x14ac:dyDescent="0.35">
      <c r="P31" s="4" t="s">
        <v>119</v>
      </c>
      <c r="Q31" s="27">
        <v>240</v>
      </c>
      <c r="R31" s="4">
        <f t="shared" si="0"/>
        <v>14</v>
      </c>
    </row>
    <row r="32" spans="2:18" s="9" customFormat="1" ht="20.149999999999999" hidden="1" customHeight="1" x14ac:dyDescent="0.35">
      <c r="P32" s="4" t="s">
        <v>120</v>
      </c>
      <c r="Q32" s="27">
        <v>254</v>
      </c>
      <c r="R32" s="4">
        <f t="shared" si="0"/>
        <v>15</v>
      </c>
    </row>
    <row r="33" spans="2:18" s="9" customFormat="1" ht="20.149999999999999" hidden="1" customHeight="1" x14ac:dyDescent="0.35">
      <c r="B33" s="6"/>
      <c r="C33" s="6"/>
      <c r="D33" s="6"/>
      <c r="E33" s="6"/>
      <c r="F33" s="6"/>
      <c r="G33" s="6"/>
      <c r="H33" s="6"/>
      <c r="I33" s="6"/>
      <c r="J33" s="6"/>
      <c r="K33" s="6"/>
      <c r="L33" s="6"/>
      <c r="M33" s="6"/>
      <c r="P33" s="4" t="s">
        <v>121</v>
      </c>
      <c r="Q33" s="27">
        <v>264</v>
      </c>
      <c r="R33" s="4">
        <f t="shared" si="0"/>
        <v>16</v>
      </c>
    </row>
    <row r="34" spans="2:18" hidden="1" x14ac:dyDescent="0.35">
      <c r="P34" s="4" t="s">
        <v>92</v>
      </c>
      <c r="Q34" s="27">
        <v>272</v>
      </c>
      <c r="R34" s="4">
        <f t="shared" si="0"/>
        <v>17</v>
      </c>
    </row>
    <row r="35" spans="2:18" hidden="1" x14ac:dyDescent="0.35">
      <c r="P35" s="4" t="s">
        <v>122</v>
      </c>
      <c r="Q35" s="27">
        <v>280</v>
      </c>
      <c r="R35" s="4">
        <f t="shared" si="0"/>
        <v>18</v>
      </c>
    </row>
    <row r="36" spans="2:18" hidden="1" x14ac:dyDescent="0.35">
      <c r="P36" s="4" t="s">
        <v>123</v>
      </c>
      <c r="Q36" s="27">
        <v>289</v>
      </c>
      <c r="R36" s="4">
        <f t="shared" si="0"/>
        <v>19</v>
      </c>
    </row>
    <row r="37" spans="2:18" hidden="1" x14ac:dyDescent="0.35">
      <c r="P37" s="28" t="s">
        <v>124</v>
      </c>
      <c r="Q37" s="27">
        <v>301</v>
      </c>
      <c r="R37" s="4">
        <f t="shared" si="0"/>
        <v>20</v>
      </c>
    </row>
    <row r="38" spans="2:18" hidden="1" x14ac:dyDescent="0.35">
      <c r="P38" s="28" t="s">
        <v>125</v>
      </c>
      <c r="Q38" s="27">
        <v>317</v>
      </c>
      <c r="R38" s="4">
        <f t="shared" si="0"/>
        <v>21</v>
      </c>
    </row>
    <row r="39" spans="2:18" hidden="1" x14ac:dyDescent="0.35">
      <c r="P39" s="28" t="s">
        <v>126</v>
      </c>
      <c r="Q39" s="27">
        <v>331</v>
      </c>
      <c r="R39" s="4">
        <f t="shared" si="0"/>
        <v>22</v>
      </c>
    </row>
    <row r="40" spans="2:18" hidden="1" x14ac:dyDescent="0.35">
      <c r="P40" s="28" t="s">
        <v>93</v>
      </c>
      <c r="Q40" s="27">
        <v>348</v>
      </c>
      <c r="R40" s="4">
        <f t="shared" si="0"/>
        <v>23</v>
      </c>
    </row>
    <row r="41" spans="2:18" hidden="1" x14ac:dyDescent="0.35">
      <c r="P41" s="28" t="s">
        <v>306</v>
      </c>
      <c r="Q41" s="48">
        <v>363</v>
      </c>
      <c r="R41" s="110">
        <f>IF(ISNUMBER(R40),R40+1,0+1)</f>
        <v>24</v>
      </c>
    </row>
    <row r="42" spans="2:18" hidden="1" x14ac:dyDescent="0.35"/>
    <row r="43" spans="2:18" hidden="1" x14ac:dyDescent="0.35"/>
    <row r="44" spans="2:18" hidden="1" x14ac:dyDescent="0.35"/>
    <row r="45" spans="2:18" hidden="1" x14ac:dyDescent="0.35"/>
    <row r="46" spans="2:18" hidden="1" x14ac:dyDescent="0.35"/>
    <row r="47" spans="2:18" hidden="1" x14ac:dyDescent="0.35"/>
    <row r="48" spans="2:18" hidden="1" x14ac:dyDescent="0.35"/>
    <row r="49" hidden="1" x14ac:dyDescent="0.35"/>
    <row r="50" hidden="1" x14ac:dyDescent="0.35"/>
    <row r="51" hidden="1" x14ac:dyDescent="0.35"/>
    <row r="52" hidden="1" x14ac:dyDescent="0.35"/>
    <row r="53" hidden="1" x14ac:dyDescent="0.35"/>
    <row r="54" hidden="1" x14ac:dyDescent="0.35"/>
    <row r="55" hidden="1" x14ac:dyDescent="0.35"/>
    <row r="56" hidden="1" x14ac:dyDescent="0.35"/>
    <row r="57" hidden="1" x14ac:dyDescent="0.35"/>
    <row r="58" hidden="1" x14ac:dyDescent="0.35"/>
    <row r="59" hidden="1" x14ac:dyDescent="0.35"/>
  </sheetData>
  <sheetProtection algorithmName="SHA-512" hashValue="xOpfZXyA455a1pTBMyywkVPatqval5PJWFZDdUEeaLP2yCSytwADqaKgC3/fdDJL744gXelAjKW8SVSHcagj/A==" saltValue="3qswpkMl+V4uTANkhFNSnw==" spinCount="100000" sheet="1" objects="1" scenarios="1"/>
  <mergeCells count="56">
    <mergeCell ref="G29:H29"/>
    <mergeCell ref="I29:J29"/>
    <mergeCell ref="A2:A3"/>
    <mergeCell ref="J5:M6"/>
    <mergeCell ref="B2:H3"/>
    <mergeCell ref="G5:H5"/>
    <mergeCell ref="G6:H6"/>
    <mergeCell ref="G7:H7"/>
    <mergeCell ref="G8:H8"/>
    <mergeCell ref="J9:M10"/>
    <mergeCell ref="G10:H10"/>
    <mergeCell ref="G9:H9"/>
    <mergeCell ref="J7:K7"/>
    <mergeCell ref="L7:M7"/>
    <mergeCell ref="J8:K8"/>
    <mergeCell ref="L8:M8"/>
    <mergeCell ref="J22:K22"/>
    <mergeCell ref="J23:K23"/>
    <mergeCell ref="J24:K24"/>
    <mergeCell ref="J16:K16"/>
    <mergeCell ref="J17:K17"/>
    <mergeCell ref="J18:K18"/>
    <mergeCell ref="J19:K19"/>
    <mergeCell ref="J21:K21"/>
    <mergeCell ref="B14:M15"/>
    <mergeCell ref="J27:K27"/>
    <mergeCell ref="J28:K28"/>
    <mergeCell ref="L16:M16"/>
    <mergeCell ref="L17:M17"/>
    <mergeCell ref="L18:M18"/>
    <mergeCell ref="L19:M19"/>
    <mergeCell ref="L20:M20"/>
    <mergeCell ref="L21:M21"/>
    <mergeCell ref="L22:M22"/>
    <mergeCell ref="L23:M23"/>
    <mergeCell ref="L24:M24"/>
    <mergeCell ref="L25:M25"/>
    <mergeCell ref="L26:M26"/>
    <mergeCell ref="L27:M27"/>
    <mergeCell ref="J20:K20"/>
    <mergeCell ref="L28:M28"/>
    <mergeCell ref="B16:I16"/>
    <mergeCell ref="B17:I17"/>
    <mergeCell ref="B18:I18"/>
    <mergeCell ref="B19:I19"/>
    <mergeCell ref="B20:I20"/>
    <mergeCell ref="B21:I21"/>
    <mergeCell ref="B22:I22"/>
    <mergeCell ref="B23:I23"/>
    <mergeCell ref="B24:I24"/>
    <mergeCell ref="B25:I25"/>
    <mergeCell ref="B26:I26"/>
    <mergeCell ref="B27:I27"/>
    <mergeCell ref="B28:I28"/>
    <mergeCell ref="J25:K25"/>
    <mergeCell ref="J26:K26"/>
  </mergeCells>
  <dataValidations disablePrompts="1" count="3">
    <dataValidation operator="lessThanOrEqual" allowBlank="1" showInputMessage="1" showErrorMessage="1" errorTitle="ERROR!!" error="No. of years cannot be more than 50!" sqref="G6:H6" xr:uid="{E0CC0987-C146-4994-9C3B-CBCAC5F9B01D}"/>
    <dataValidation type="list" allowBlank="1" showInputMessage="1" showErrorMessage="1" sqref="G8:H8" xr:uid="{735B9FFF-232F-4F18-907A-0F0C6F12C6D4}">
      <formula1>TaxSlab</formula1>
    </dataValidation>
    <dataValidation type="list" allowBlank="1" showInputMessage="1" showErrorMessage="1" sqref="G9:H10" xr:uid="{3C0F264C-950B-4C2B-90C9-2ACCD3B3BC88}">
      <formula1>INDIRECT("CII[YEAR]")</formula1>
    </dataValidation>
  </dataValidations>
  <hyperlinks>
    <hyperlink ref="A2:A3" location="'Main Menu'!A1" tooltip="HOME" display="BACK" xr:uid="{E8443541-458E-4249-ADBB-A5E4CFF4598D}"/>
  </hyperlinks>
  <printOptions horizontalCentered="1"/>
  <pageMargins left="0.23622047244094491" right="0.23622047244094491" top="0.23622047244094491" bottom="0.23622047244094491" header="0.31496062992125984" footer="0.31496062992125984"/>
  <pageSetup paperSize="9"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B0AE-E81F-4E6F-9DBC-1B3E5B49C1E5}">
  <dimension ref="A1:T120"/>
  <sheetViews>
    <sheetView showGridLines="0" zoomScaleNormal="100" workbookViewId="0"/>
  </sheetViews>
  <sheetFormatPr defaultColWidth="0" defaultRowHeight="14.5" customHeight="1" zeroHeight="1" x14ac:dyDescent="0.35"/>
  <cols>
    <col min="1" max="15" width="9.1796875" style="6" customWidth="1"/>
    <col min="16" max="16" width="1.26953125" style="6" customWidth="1"/>
    <col min="17" max="20" width="0" style="6" hidden="1" customWidth="1"/>
    <col min="21" max="16384" width="9.1796875" style="6" hidden="1"/>
  </cols>
  <sheetData>
    <row r="1" spans="1:15" x14ac:dyDescent="0.35"/>
    <row r="2" spans="1:15" ht="14.5" customHeight="1" x14ac:dyDescent="0.35">
      <c r="A2" s="289" t="s">
        <v>5</v>
      </c>
      <c r="B2" s="290" t="s">
        <v>152</v>
      </c>
      <c r="C2" s="290"/>
      <c r="D2" s="290"/>
      <c r="E2" s="290"/>
      <c r="F2" s="290"/>
      <c r="G2" s="290"/>
      <c r="H2" s="290"/>
      <c r="I2" s="290"/>
      <c r="J2" s="290"/>
      <c r="N2"/>
      <c r="O2"/>
    </row>
    <row r="3" spans="1:15" ht="14.5" customHeight="1" x14ac:dyDescent="0.35">
      <c r="A3" s="289"/>
      <c r="B3" s="338"/>
      <c r="C3" s="338"/>
      <c r="D3" s="338"/>
      <c r="E3" s="338"/>
      <c r="F3" s="338"/>
      <c r="G3" s="338"/>
      <c r="H3" s="338"/>
      <c r="I3" s="338"/>
      <c r="J3" s="338"/>
      <c r="N3"/>
      <c r="O3"/>
    </row>
    <row r="4" spans="1:15" x14ac:dyDescent="0.35"/>
    <row r="5" spans="1:15" ht="20.149999999999999" customHeight="1" x14ac:dyDescent="0.35">
      <c r="B5" s="7" t="s">
        <v>7</v>
      </c>
      <c r="C5" s="29"/>
      <c r="D5" s="29"/>
      <c r="E5" s="29"/>
      <c r="F5" s="29"/>
      <c r="G5" s="29"/>
      <c r="H5" s="293">
        <v>20000</v>
      </c>
      <c r="I5" s="294"/>
      <c r="K5" s="532" t="s">
        <v>153</v>
      </c>
      <c r="L5" s="533"/>
      <c r="M5" s="533"/>
      <c r="N5" s="533"/>
      <c r="O5" s="534"/>
    </row>
    <row r="6" spans="1:15" ht="20.149999999999999" customHeight="1" x14ac:dyDescent="0.35">
      <c r="B6" s="7" t="s">
        <v>15</v>
      </c>
      <c r="C6" s="29"/>
      <c r="D6" s="29"/>
      <c r="E6" s="29"/>
      <c r="F6" s="29"/>
      <c r="G6" s="29"/>
      <c r="H6" s="280">
        <v>0</v>
      </c>
      <c r="I6" s="281"/>
      <c r="K6" s="535"/>
      <c r="L6" s="536"/>
      <c r="M6" s="536"/>
      <c r="N6" s="536"/>
      <c r="O6" s="537"/>
    </row>
    <row r="7" spans="1:15" ht="20.149999999999999" customHeight="1" x14ac:dyDescent="0.35">
      <c r="B7" s="7" t="s">
        <v>13</v>
      </c>
      <c r="C7" s="29"/>
      <c r="D7" s="29"/>
      <c r="E7" s="29"/>
      <c r="F7" s="29"/>
      <c r="G7" s="29"/>
      <c r="H7" s="293">
        <v>20</v>
      </c>
      <c r="I7" s="294"/>
      <c r="K7" s="538">
        <f>H9+H7+H8</f>
        <v>50</v>
      </c>
      <c r="L7" s="538"/>
      <c r="M7" s="538"/>
      <c r="N7" s="538"/>
      <c r="O7" s="538"/>
    </row>
    <row r="8" spans="1:15" ht="20.149999999999999" customHeight="1" x14ac:dyDescent="0.35">
      <c r="B8" s="7" t="s">
        <v>380</v>
      </c>
      <c r="C8" s="29"/>
      <c r="D8" s="29"/>
      <c r="E8" s="29"/>
      <c r="F8" s="29"/>
      <c r="G8" s="29"/>
      <c r="H8" s="293">
        <v>0</v>
      </c>
      <c r="I8" s="294"/>
      <c r="K8" s="538"/>
      <c r="L8" s="538"/>
      <c r="M8" s="538"/>
      <c r="N8" s="538"/>
      <c r="O8" s="538"/>
    </row>
    <row r="9" spans="1:15" ht="20.149999999999999" customHeight="1" x14ac:dyDescent="0.35">
      <c r="B9" s="7" t="s">
        <v>40</v>
      </c>
      <c r="C9" s="29"/>
      <c r="D9" s="29"/>
      <c r="E9" s="29"/>
      <c r="F9" s="29"/>
      <c r="G9" s="29"/>
      <c r="H9" s="293">
        <v>30</v>
      </c>
      <c r="I9" s="294"/>
      <c r="K9" s="532" t="s">
        <v>154</v>
      </c>
      <c r="L9" s="533"/>
      <c r="M9" s="533"/>
      <c r="N9" s="533"/>
      <c r="O9" s="534"/>
    </row>
    <row r="10" spans="1:15" ht="20.149999999999999" customHeight="1" x14ac:dyDescent="0.35">
      <c r="B10" s="7" t="s">
        <v>24</v>
      </c>
      <c r="C10" s="8"/>
      <c r="D10" s="8"/>
      <c r="E10" s="8"/>
      <c r="F10" s="29"/>
      <c r="G10" s="29"/>
      <c r="H10" s="280">
        <v>0.14000000000000001</v>
      </c>
      <c r="I10" s="281"/>
      <c r="J10" s="16"/>
      <c r="K10" s="535"/>
      <c r="L10" s="536"/>
      <c r="M10" s="536"/>
      <c r="N10" s="536"/>
      <c r="O10" s="537"/>
    </row>
    <row r="11" spans="1:15" ht="20.149999999999999" customHeight="1" x14ac:dyDescent="0.35">
      <c r="B11" s="7" t="s">
        <v>155</v>
      </c>
      <c r="C11" s="29"/>
      <c r="D11" s="29"/>
      <c r="E11" s="29"/>
      <c r="F11" s="29"/>
      <c r="G11" s="29"/>
      <c r="H11" s="293">
        <v>200000</v>
      </c>
      <c r="I11" s="294"/>
      <c r="J11" s="16"/>
      <c r="K11" s="538">
        <f>IF(ISNA(R19),"BEYOND "&amp;C119,R19)</f>
        <v>72</v>
      </c>
      <c r="L11" s="538"/>
      <c r="M11" s="538"/>
      <c r="N11" s="538"/>
      <c r="O11" s="538"/>
    </row>
    <row r="12" spans="1:15" ht="20.149999999999999" customHeight="1" x14ac:dyDescent="0.35">
      <c r="B12" s="7" t="s">
        <v>289</v>
      </c>
      <c r="C12" s="29"/>
      <c r="D12" s="29"/>
      <c r="E12" s="29"/>
      <c r="F12" s="29"/>
      <c r="G12" s="29"/>
      <c r="H12" s="280">
        <v>0</v>
      </c>
      <c r="I12" s="281"/>
      <c r="K12" s="538"/>
      <c r="L12" s="538"/>
      <c r="M12" s="538"/>
      <c r="N12" s="538"/>
      <c r="O12" s="538"/>
    </row>
    <row r="13" spans="1:15" ht="20.149999999999999" customHeight="1" x14ac:dyDescent="0.35">
      <c r="B13" s="7" t="s">
        <v>290</v>
      </c>
      <c r="C13" s="29"/>
      <c r="D13" s="29"/>
      <c r="E13" s="29"/>
      <c r="F13" s="29"/>
      <c r="G13" s="29"/>
      <c r="H13" s="280">
        <v>0.1</v>
      </c>
      <c r="I13" s="281"/>
    </row>
    <row r="14" spans="1:15" customFormat="1" ht="20.149999999999999" customHeight="1" x14ac:dyDescent="0.35">
      <c r="B14" s="6"/>
      <c r="C14" s="6"/>
      <c r="D14" s="6"/>
      <c r="E14" s="6"/>
      <c r="F14" s="6"/>
      <c r="G14" s="6"/>
      <c r="H14" s="6"/>
      <c r="I14" s="6"/>
    </row>
    <row r="15" spans="1:15" customFormat="1" ht="20.149999999999999" customHeight="1" x14ac:dyDescent="0.35">
      <c r="B15" s="9" t="s">
        <v>255</v>
      </c>
      <c r="C15" s="9"/>
      <c r="D15" s="100" t="str">
        <f>" "&amp;UPPER('Main Menu'!C29)</f>
        <v xml:space="preserve"> CLIENT NAME</v>
      </c>
      <c r="E15" s="100"/>
      <c r="F15" s="100"/>
      <c r="G15" s="100"/>
      <c r="H15" s="100"/>
      <c r="J15" s="6"/>
      <c r="K15" s="6"/>
    </row>
    <row r="16" spans="1:15" customFormat="1" ht="20.149999999999999" customHeight="1" x14ac:dyDescent="0.35">
      <c r="B16" s="9" t="s">
        <v>256</v>
      </c>
      <c r="C16" s="9"/>
      <c r="D16" s="101" t="str">
        <f>" "&amp;UPPER('Main Menu'!L29)</f>
        <v xml:space="preserve"> PARTNER NAME</v>
      </c>
      <c r="E16" s="101"/>
      <c r="F16" s="101"/>
      <c r="G16" s="101"/>
      <c r="H16" s="101"/>
      <c r="I16" s="53" t="str">
        <f ca="1">"Dated: "&amp; TEXT(TODAY(),"DD-MMM-YYYY")</f>
        <v>Dated: 28-Aug-2025</v>
      </c>
      <c r="J16" s="6"/>
      <c r="K16" s="6"/>
      <c r="N16" s="6"/>
      <c r="O16" s="6"/>
    </row>
    <row r="17" spans="2:20" customFormat="1" ht="20.149999999999999" customHeight="1" x14ac:dyDescent="0.35">
      <c r="B17" s="6"/>
      <c r="C17" s="6"/>
      <c r="D17" s="6"/>
      <c r="E17" s="6"/>
      <c r="F17" s="6"/>
      <c r="G17" s="9"/>
      <c r="H17" s="6"/>
      <c r="I17" s="6"/>
      <c r="J17" s="9"/>
    </row>
    <row r="18" spans="2:20" ht="20.149999999999999" customHeight="1" x14ac:dyDescent="0.35">
      <c r="B18" s="530" t="s">
        <v>9</v>
      </c>
      <c r="C18" s="539" t="s">
        <v>34</v>
      </c>
      <c r="D18" s="539" t="s">
        <v>156</v>
      </c>
      <c r="E18" s="539"/>
      <c r="F18" s="539" t="s">
        <v>157</v>
      </c>
      <c r="G18" s="539"/>
      <c r="H18" s="539" t="s">
        <v>158</v>
      </c>
      <c r="I18" s="539"/>
      <c r="J18" s="539" t="s">
        <v>159</v>
      </c>
      <c r="K18" s="539"/>
      <c r="L18" s="539" t="s">
        <v>381</v>
      </c>
      <c r="M18" s="539"/>
      <c r="N18" s="539" t="s">
        <v>363</v>
      </c>
      <c r="O18" s="540"/>
      <c r="P18"/>
      <c r="Q18" s="6" t="s">
        <v>160</v>
      </c>
    </row>
    <row r="19" spans="2:20" ht="20.149999999999999" customHeight="1" x14ac:dyDescent="0.35">
      <c r="B19" s="531"/>
      <c r="C19" s="417"/>
      <c r="D19" s="417"/>
      <c r="E19" s="417"/>
      <c r="F19" s="417"/>
      <c r="G19" s="417"/>
      <c r="H19" s="417"/>
      <c r="I19" s="417"/>
      <c r="J19" s="417"/>
      <c r="K19" s="417"/>
      <c r="L19" s="417"/>
      <c r="M19" s="417"/>
      <c r="N19" s="417"/>
      <c r="O19" s="541"/>
      <c r="P19"/>
      <c r="Q19" s="6" t="s">
        <v>34</v>
      </c>
      <c r="R19" s="6">
        <f>INDEX(C21:C119,MATCH(TRUE,Q21:Q119,0))-1</f>
        <v>72</v>
      </c>
    </row>
    <row r="20" spans="2:20" ht="20.149999999999999" customHeight="1" x14ac:dyDescent="0.35">
      <c r="B20" s="187">
        <v>1</v>
      </c>
      <c r="C20" s="187">
        <f>H9</f>
        <v>30</v>
      </c>
      <c r="D20" s="506">
        <v>0</v>
      </c>
      <c r="E20" s="507"/>
      <c r="F20" s="506">
        <f>H5</f>
        <v>20000</v>
      </c>
      <c r="G20" s="507"/>
      <c r="H20" s="506">
        <v>0</v>
      </c>
      <c r="I20" s="507"/>
      <c r="J20" s="506">
        <v>0</v>
      </c>
      <c r="K20" s="507"/>
      <c r="L20" s="506">
        <v>0</v>
      </c>
      <c r="M20" s="507"/>
      <c r="N20" s="506">
        <f>FV((1+$H$10)^(1/12)-1,12,-F20,,1)</f>
        <v>257835.77356790419</v>
      </c>
      <c r="O20" s="507"/>
    </row>
    <row r="21" spans="2:20" ht="20.149999999999999" customHeight="1" x14ac:dyDescent="0.35">
      <c r="B21" s="187">
        <v>2</v>
      </c>
      <c r="C21" s="187">
        <f>C20+1</f>
        <v>31</v>
      </c>
      <c r="D21" s="502">
        <f>N20</f>
        <v>257835.77356790419</v>
      </c>
      <c r="E21" s="503"/>
      <c r="F21" s="502">
        <f t="shared" ref="F21:F52" si="0">IF(B21&gt;$H$7,0, F20*(1+$H$6))</f>
        <v>20000</v>
      </c>
      <c r="G21" s="503"/>
      <c r="H21" s="502">
        <f t="shared" ref="H21:H52" si="1">IF(OR(L20=0,B20&lt;($H$7+$H$8)),0,IF(H20=0,FV($H$12,B21,,-$H$11),H20*(1+$H$12)))</f>
        <v>0</v>
      </c>
      <c r="I21" s="503"/>
      <c r="J21" s="502">
        <f>H21*12</f>
        <v>0</v>
      </c>
      <c r="K21" s="503"/>
      <c r="L21" s="502">
        <f>IF((D21-(H21*12))&lt;0,0,(D21-(H21*12)))</f>
        <v>257835.77356790419</v>
      </c>
      <c r="M21" s="503"/>
      <c r="N21" s="502">
        <f t="shared" ref="N21:N52" si="2">IF(B20&gt;=MAX($H$7,$H$8), FV((1+$H$13)^(1/12)-1,12,-F21,-L21,1), FV((1+$H$10)^(1/12)-1,12,-F21,-L21,1))</f>
        <v>551768.55543531477</v>
      </c>
      <c r="O21" s="503"/>
      <c r="Q21" s="6" t="b">
        <f t="shared" ref="Q21:Q52" si="3">L21=0</f>
        <v>0</v>
      </c>
      <c r="S21" s="6" t="b">
        <f>FALSE</f>
        <v>0</v>
      </c>
      <c r="T21" s="6">
        <f>MOD(ROW(),2)</f>
        <v>1</v>
      </c>
    </row>
    <row r="22" spans="2:20" s="9" customFormat="1" ht="20.149999999999999" customHeight="1" x14ac:dyDescent="0.35">
      <c r="B22" s="187">
        <v>3</v>
      </c>
      <c r="C22" s="187">
        <f t="shared" ref="C22:C85" si="4">C21+1</f>
        <v>32</v>
      </c>
      <c r="D22" s="502">
        <f t="shared" ref="D22:D85" si="5">N21</f>
        <v>551768.55543531477</v>
      </c>
      <c r="E22" s="503"/>
      <c r="F22" s="502">
        <f t="shared" si="0"/>
        <v>20000</v>
      </c>
      <c r="G22" s="503"/>
      <c r="H22" s="502">
        <f t="shared" si="1"/>
        <v>0</v>
      </c>
      <c r="I22" s="503"/>
      <c r="J22" s="502">
        <f t="shared" ref="J22:J85" si="6">H22*12</f>
        <v>0</v>
      </c>
      <c r="K22" s="503"/>
      <c r="L22" s="502">
        <f t="shared" ref="L22:L85" si="7">IF((D22-(H22*12))&lt;0,0,(D22-(H22*12)))</f>
        <v>551768.55543531477</v>
      </c>
      <c r="M22" s="503"/>
      <c r="N22" s="502">
        <f t="shared" si="2"/>
        <v>886851.92676416249</v>
      </c>
      <c r="O22" s="503"/>
      <c r="Q22" s="6" t="b">
        <f t="shared" si="3"/>
        <v>0</v>
      </c>
      <c r="S22" s="6" t="b">
        <f t="shared" ref="S22:S53" si="8">L21=0</f>
        <v>0</v>
      </c>
      <c r="T22" s="6">
        <f t="shared" ref="T22:T85" si="9">MOD(ROW(),2)</f>
        <v>0</v>
      </c>
    </row>
    <row r="23" spans="2:20" s="9" customFormat="1" ht="20.149999999999999" customHeight="1" x14ac:dyDescent="0.35">
      <c r="B23" s="187">
        <v>4</v>
      </c>
      <c r="C23" s="187">
        <f t="shared" si="4"/>
        <v>33</v>
      </c>
      <c r="D23" s="502">
        <f t="shared" si="5"/>
        <v>886851.92676416249</v>
      </c>
      <c r="E23" s="503"/>
      <c r="F23" s="502">
        <f t="shared" si="0"/>
        <v>20000</v>
      </c>
      <c r="G23" s="503"/>
      <c r="H23" s="502">
        <f t="shared" si="1"/>
        <v>0</v>
      </c>
      <c r="I23" s="503"/>
      <c r="J23" s="502">
        <f t="shared" si="6"/>
        <v>0</v>
      </c>
      <c r="K23" s="503"/>
      <c r="L23" s="502">
        <f t="shared" si="7"/>
        <v>886851.92676416249</v>
      </c>
      <c r="M23" s="503"/>
      <c r="N23" s="502">
        <f t="shared" si="2"/>
        <v>1268846.9700790485</v>
      </c>
      <c r="O23" s="503"/>
      <c r="Q23" s="6" t="b">
        <f t="shared" si="3"/>
        <v>0</v>
      </c>
      <c r="S23" s="6" t="b">
        <f t="shared" si="8"/>
        <v>0</v>
      </c>
      <c r="T23" s="6">
        <f t="shared" si="9"/>
        <v>1</v>
      </c>
    </row>
    <row r="24" spans="2:20" s="9" customFormat="1" ht="20.149999999999999" customHeight="1" x14ac:dyDescent="0.35">
      <c r="B24" s="187">
        <v>5</v>
      </c>
      <c r="C24" s="187">
        <f t="shared" si="4"/>
        <v>34</v>
      </c>
      <c r="D24" s="502">
        <f t="shared" si="5"/>
        <v>1268846.9700790485</v>
      </c>
      <c r="E24" s="503"/>
      <c r="F24" s="502">
        <f t="shared" si="0"/>
        <v>20000</v>
      </c>
      <c r="G24" s="503"/>
      <c r="H24" s="502">
        <f t="shared" si="1"/>
        <v>0</v>
      </c>
      <c r="I24" s="503"/>
      <c r="J24" s="502">
        <f t="shared" si="6"/>
        <v>0</v>
      </c>
      <c r="K24" s="503"/>
      <c r="L24" s="502">
        <f t="shared" si="7"/>
        <v>1268846.9700790485</v>
      </c>
      <c r="M24" s="503"/>
      <c r="N24" s="502">
        <f t="shared" si="2"/>
        <v>1704321.3194580183</v>
      </c>
      <c r="O24" s="503"/>
      <c r="Q24" s="6" t="b">
        <f t="shared" si="3"/>
        <v>0</v>
      </c>
      <c r="S24" s="6" t="b">
        <f t="shared" si="8"/>
        <v>0</v>
      </c>
      <c r="T24" s="6">
        <f t="shared" si="9"/>
        <v>0</v>
      </c>
    </row>
    <row r="25" spans="2:20" s="9" customFormat="1" ht="20.149999999999999" customHeight="1" x14ac:dyDescent="0.35">
      <c r="B25" s="187">
        <v>6</v>
      </c>
      <c r="C25" s="187">
        <f t="shared" si="4"/>
        <v>35</v>
      </c>
      <c r="D25" s="502">
        <f t="shared" si="5"/>
        <v>1704321.3194580183</v>
      </c>
      <c r="E25" s="503"/>
      <c r="F25" s="502">
        <f t="shared" si="0"/>
        <v>20000</v>
      </c>
      <c r="G25" s="503"/>
      <c r="H25" s="502">
        <f t="shared" si="1"/>
        <v>0</v>
      </c>
      <c r="I25" s="503"/>
      <c r="J25" s="502">
        <f t="shared" si="6"/>
        <v>0</v>
      </c>
      <c r="K25" s="503"/>
      <c r="L25" s="502">
        <f t="shared" si="7"/>
        <v>1704321.3194580183</v>
      </c>
      <c r="M25" s="503"/>
      <c r="N25" s="502">
        <f t="shared" si="2"/>
        <v>2200762.0777500435</v>
      </c>
      <c r="O25" s="503"/>
      <c r="Q25" s="6" t="b">
        <f t="shared" si="3"/>
        <v>0</v>
      </c>
      <c r="S25" s="6" t="b">
        <f t="shared" si="8"/>
        <v>0</v>
      </c>
      <c r="T25" s="6">
        <f t="shared" si="9"/>
        <v>1</v>
      </c>
    </row>
    <row r="26" spans="2:20" s="9" customFormat="1" ht="20.149999999999999" customHeight="1" x14ac:dyDescent="0.35">
      <c r="B26" s="187">
        <v>7</v>
      </c>
      <c r="C26" s="187">
        <f t="shared" si="4"/>
        <v>36</v>
      </c>
      <c r="D26" s="502">
        <f t="shared" si="5"/>
        <v>2200762.0777500435</v>
      </c>
      <c r="E26" s="503"/>
      <c r="F26" s="502">
        <f t="shared" si="0"/>
        <v>20000</v>
      </c>
      <c r="G26" s="503"/>
      <c r="H26" s="502">
        <f t="shared" si="1"/>
        <v>0</v>
      </c>
      <c r="I26" s="503"/>
      <c r="J26" s="502">
        <f t="shared" si="6"/>
        <v>0</v>
      </c>
      <c r="K26" s="503"/>
      <c r="L26" s="502">
        <f t="shared" si="7"/>
        <v>2200762.0777500435</v>
      </c>
      <c r="M26" s="503"/>
      <c r="N26" s="502">
        <f t="shared" si="2"/>
        <v>2766704.5422029519</v>
      </c>
      <c r="O26" s="503"/>
      <c r="Q26" s="6" t="b">
        <f t="shared" si="3"/>
        <v>0</v>
      </c>
      <c r="S26" s="6" t="b">
        <f t="shared" si="8"/>
        <v>0</v>
      </c>
      <c r="T26" s="6">
        <f t="shared" si="9"/>
        <v>0</v>
      </c>
    </row>
    <row r="27" spans="2:20" s="9" customFormat="1" ht="20.149999999999999" customHeight="1" x14ac:dyDescent="0.35">
      <c r="B27" s="187">
        <v>8</v>
      </c>
      <c r="C27" s="187">
        <f t="shared" si="4"/>
        <v>37</v>
      </c>
      <c r="D27" s="502">
        <f t="shared" si="5"/>
        <v>2766704.5422029519</v>
      </c>
      <c r="E27" s="503"/>
      <c r="F27" s="502">
        <f t="shared" si="0"/>
        <v>20000</v>
      </c>
      <c r="G27" s="503"/>
      <c r="H27" s="502">
        <f t="shared" si="1"/>
        <v>0</v>
      </c>
      <c r="I27" s="503"/>
      <c r="J27" s="502">
        <f t="shared" si="6"/>
        <v>0</v>
      </c>
      <c r="K27" s="503"/>
      <c r="L27" s="502">
        <f t="shared" si="7"/>
        <v>2766704.5422029519</v>
      </c>
      <c r="M27" s="503"/>
      <c r="N27" s="502">
        <f t="shared" si="2"/>
        <v>3411878.9516792665</v>
      </c>
      <c r="O27" s="503"/>
      <c r="Q27" s="6" t="b">
        <f t="shared" si="3"/>
        <v>0</v>
      </c>
      <c r="S27" s="6" t="b">
        <f t="shared" si="8"/>
        <v>0</v>
      </c>
      <c r="T27" s="6">
        <f t="shared" si="9"/>
        <v>1</v>
      </c>
    </row>
    <row r="28" spans="2:20" s="9" customFormat="1" ht="20.149999999999999" customHeight="1" x14ac:dyDescent="0.35">
      <c r="B28" s="187">
        <v>9</v>
      </c>
      <c r="C28" s="187">
        <f t="shared" si="4"/>
        <v>38</v>
      </c>
      <c r="D28" s="502">
        <f t="shared" si="5"/>
        <v>3411878.9516792665</v>
      </c>
      <c r="E28" s="503"/>
      <c r="F28" s="502">
        <f t="shared" si="0"/>
        <v>20000</v>
      </c>
      <c r="G28" s="503"/>
      <c r="H28" s="502">
        <f t="shared" si="1"/>
        <v>0</v>
      </c>
      <c r="I28" s="503"/>
      <c r="J28" s="502">
        <f t="shared" si="6"/>
        <v>0</v>
      </c>
      <c r="K28" s="503"/>
      <c r="L28" s="502">
        <f t="shared" si="7"/>
        <v>3411878.9516792665</v>
      </c>
      <c r="M28" s="503"/>
      <c r="N28" s="502">
        <f t="shared" si="2"/>
        <v>4147377.7784822648</v>
      </c>
      <c r="O28" s="503"/>
      <c r="Q28" s="6" t="b">
        <f t="shared" si="3"/>
        <v>0</v>
      </c>
      <c r="S28" s="6" t="b">
        <f t="shared" si="8"/>
        <v>0</v>
      </c>
      <c r="T28" s="6">
        <f t="shared" si="9"/>
        <v>0</v>
      </c>
    </row>
    <row r="29" spans="2:20" s="9" customFormat="1" ht="20.149999999999999" customHeight="1" x14ac:dyDescent="0.35">
      <c r="B29" s="187">
        <v>10</v>
      </c>
      <c r="C29" s="187">
        <f t="shared" si="4"/>
        <v>39</v>
      </c>
      <c r="D29" s="502">
        <f t="shared" si="5"/>
        <v>4147377.7784822648</v>
      </c>
      <c r="E29" s="503"/>
      <c r="F29" s="502">
        <f t="shared" si="0"/>
        <v>20000</v>
      </c>
      <c r="G29" s="503"/>
      <c r="H29" s="502">
        <f t="shared" si="1"/>
        <v>0</v>
      </c>
      <c r="I29" s="503"/>
      <c r="J29" s="502">
        <f t="shared" si="6"/>
        <v>0</v>
      </c>
      <c r="K29" s="503"/>
      <c r="L29" s="502">
        <f t="shared" si="7"/>
        <v>4147377.7784822648</v>
      </c>
      <c r="M29" s="503"/>
      <c r="N29" s="502">
        <f t="shared" si="2"/>
        <v>4985846.4410376819</v>
      </c>
      <c r="O29" s="503"/>
      <c r="Q29" s="6" t="b">
        <f t="shared" si="3"/>
        <v>0</v>
      </c>
      <c r="S29" s="6" t="b">
        <f t="shared" si="8"/>
        <v>0</v>
      </c>
      <c r="T29" s="6">
        <f t="shared" si="9"/>
        <v>1</v>
      </c>
    </row>
    <row r="30" spans="2:20" s="9" customFormat="1" ht="20.149999999999999" customHeight="1" x14ac:dyDescent="0.35">
      <c r="B30" s="187">
        <v>11</v>
      </c>
      <c r="C30" s="187">
        <f t="shared" si="4"/>
        <v>40</v>
      </c>
      <c r="D30" s="502">
        <f t="shared" si="5"/>
        <v>4985846.4410376819</v>
      </c>
      <c r="E30" s="503"/>
      <c r="F30" s="502">
        <f t="shared" si="0"/>
        <v>20000</v>
      </c>
      <c r="G30" s="503"/>
      <c r="H30" s="502">
        <f t="shared" si="1"/>
        <v>0</v>
      </c>
      <c r="I30" s="503"/>
      <c r="J30" s="502">
        <f t="shared" si="6"/>
        <v>0</v>
      </c>
      <c r="K30" s="503"/>
      <c r="L30" s="502">
        <f t="shared" si="7"/>
        <v>4985846.4410376819</v>
      </c>
      <c r="M30" s="503"/>
      <c r="N30" s="502">
        <f t="shared" si="2"/>
        <v>5941700.7163508562</v>
      </c>
      <c r="O30" s="503"/>
      <c r="Q30" s="6" t="b">
        <f t="shared" si="3"/>
        <v>0</v>
      </c>
      <c r="S30" s="6" t="b">
        <f t="shared" si="8"/>
        <v>0</v>
      </c>
      <c r="T30" s="6">
        <f t="shared" si="9"/>
        <v>0</v>
      </c>
    </row>
    <row r="31" spans="2:20" s="9" customFormat="1" ht="20.149999999999999" customHeight="1" x14ac:dyDescent="0.35">
      <c r="B31" s="187">
        <v>12</v>
      </c>
      <c r="C31" s="187">
        <f t="shared" si="4"/>
        <v>41</v>
      </c>
      <c r="D31" s="502">
        <f t="shared" si="5"/>
        <v>5941700.7163508562</v>
      </c>
      <c r="E31" s="503"/>
      <c r="F31" s="502">
        <f t="shared" si="0"/>
        <v>20000</v>
      </c>
      <c r="G31" s="503"/>
      <c r="H31" s="502">
        <f t="shared" si="1"/>
        <v>0</v>
      </c>
      <c r="I31" s="503"/>
      <c r="J31" s="502">
        <f t="shared" si="6"/>
        <v>0</v>
      </c>
      <c r="K31" s="503"/>
      <c r="L31" s="502">
        <f t="shared" si="7"/>
        <v>5941700.7163508562</v>
      </c>
      <c r="M31" s="503"/>
      <c r="N31" s="502">
        <f t="shared" si="2"/>
        <v>7031374.5902078738</v>
      </c>
      <c r="O31" s="503"/>
      <c r="Q31" s="6" t="b">
        <f t="shared" si="3"/>
        <v>0</v>
      </c>
      <c r="S31" s="6" t="b">
        <f t="shared" si="8"/>
        <v>0</v>
      </c>
      <c r="T31" s="6">
        <f t="shared" si="9"/>
        <v>1</v>
      </c>
    </row>
    <row r="32" spans="2:20" s="9" customFormat="1" ht="20.149999999999999" customHeight="1" x14ac:dyDescent="0.35">
      <c r="B32" s="187">
        <v>13</v>
      </c>
      <c r="C32" s="187">
        <f t="shared" si="4"/>
        <v>42</v>
      </c>
      <c r="D32" s="502">
        <f t="shared" si="5"/>
        <v>7031374.5902078738</v>
      </c>
      <c r="E32" s="503"/>
      <c r="F32" s="502">
        <f t="shared" si="0"/>
        <v>20000</v>
      </c>
      <c r="G32" s="503"/>
      <c r="H32" s="502">
        <f t="shared" si="1"/>
        <v>0</v>
      </c>
      <c r="I32" s="503"/>
      <c r="J32" s="502">
        <f t="shared" si="6"/>
        <v>0</v>
      </c>
      <c r="K32" s="503"/>
      <c r="L32" s="502">
        <f t="shared" si="7"/>
        <v>7031374.5902078738</v>
      </c>
      <c r="M32" s="503"/>
      <c r="N32" s="502">
        <f t="shared" si="2"/>
        <v>8273602.8064048728</v>
      </c>
      <c r="O32" s="503"/>
      <c r="Q32" s="6" t="b">
        <f t="shared" si="3"/>
        <v>0</v>
      </c>
      <c r="S32" s="6" t="b">
        <f t="shared" si="8"/>
        <v>0</v>
      </c>
      <c r="T32" s="6">
        <f t="shared" si="9"/>
        <v>0</v>
      </c>
    </row>
    <row r="33" spans="2:20" s="9" customFormat="1" ht="20.149999999999999" customHeight="1" x14ac:dyDescent="0.35">
      <c r="B33" s="187">
        <v>14</v>
      </c>
      <c r="C33" s="187">
        <f t="shared" si="4"/>
        <v>43</v>
      </c>
      <c r="D33" s="502">
        <f t="shared" si="5"/>
        <v>8273602.8064048728</v>
      </c>
      <c r="E33" s="503"/>
      <c r="F33" s="502">
        <f t="shared" si="0"/>
        <v>20000</v>
      </c>
      <c r="G33" s="503"/>
      <c r="H33" s="502">
        <f t="shared" si="1"/>
        <v>0</v>
      </c>
      <c r="I33" s="503"/>
      <c r="J33" s="502">
        <f t="shared" si="6"/>
        <v>0</v>
      </c>
      <c r="K33" s="503"/>
      <c r="L33" s="502">
        <f t="shared" si="7"/>
        <v>8273602.8064048728</v>
      </c>
      <c r="M33" s="503"/>
      <c r="N33" s="502">
        <f t="shared" si="2"/>
        <v>9689742.9728694502</v>
      </c>
      <c r="O33" s="503"/>
      <c r="Q33" s="6" t="b">
        <f t="shared" si="3"/>
        <v>0</v>
      </c>
      <c r="S33" s="6" t="b">
        <f t="shared" si="8"/>
        <v>0</v>
      </c>
      <c r="T33" s="6">
        <f t="shared" si="9"/>
        <v>1</v>
      </c>
    </row>
    <row r="34" spans="2:20" s="9" customFormat="1" ht="20.149999999999999" customHeight="1" x14ac:dyDescent="0.35">
      <c r="B34" s="187">
        <v>15</v>
      </c>
      <c r="C34" s="187">
        <f t="shared" si="4"/>
        <v>44</v>
      </c>
      <c r="D34" s="502">
        <f t="shared" si="5"/>
        <v>9689742.9728694502</v>
      </c>
      <c r="E34" s="503"/>
      <c r="F34" s="502">
        <f t="shared" si="0"/>
        <v>20000</v>
      </c>
      <c r="G34" s="503"/>
      <c r="H34" s="502">
        <f t="shared" si="1"/>
        <v>0</v>
      </c>
      <c r="I34" s="503"/>
      <c r="J34" s="502">
        <f t="shared" si="6"/>
        <v>0</v>
      </c>
      <c r="K34" s="503"/>
      <c r="L34" s="502">
        <f t="shared" si="7"/>
        <v>9689742.9728694502</v>
      </c>
      <c r="M34" s="503"/>
      <c r="N34" s="502">
        <f t="shared" si="2"/>
        <v>11304142.762639068</v>
      </c>
      <c r="O34" s="503"/>
      <c r="Q34" s="6" t="b">
        <f t="shared" si="3"/>
        <v>0</v>
      </c>
      <c r="S34" s="6" t="b">
        <f t="shared" si="8"/>
        <v>0</v>
      </c>
      <c r="T34" s="6">
        <f t="shared" si="9"/>
        <v>0</v>
      </c>
    </row>
    <row r="35" spans="2:20" s="9" customFormat="1" ht="20.149999999999999" customHeight="1" x14ac:dyDescent="0.35">
      <c r="B35" s="187">
        <v>16</v>
      </c>
      <c r="C35" s="187">
        <f t="shared" si="4"/>
        <v>45</v>
      </c>
      <c r="D35" s="502">
        <f t="shared" si="5"/>
        <v>11304142.762639068</v>
      </c>
      <c r="E35" s="503"/>
      <c r="F35" s="502">
        <f t="shared" si="0"/>
        <v>20000</v>
      </c>
      <c r="G35" s="503"/>
      <c r="H35" s="502">
        <f t="shared" si="1"/>
        <v>0</v>
      </c>
      <c r="I35" s="503"/>
      <c r="J35" s="502">
        <f t="shared" si="6"/>
        <v>0</v>
      </c>
      <c r="K35" s="503"/>
      <c r="L35" s="502">
        <f t="shared" si="7"/>
        <v>11304142.762639068</v>
      </c>
      <c r="M35" s="503"/>
      <c r="N35" s="502">
        <f t="shared" si="2"/>
        <v>13144558.52297643</v>
      </c>
      <c r="O35" s="503"/>
      <c r="Q35" s="6" t="b">
        <f t="shared" si="3"/>
        <v>0</v>
      </c>
      <c r="S35" s="6" t="b">
        <f t="shared" si="8"/>
        <v>0</v>
      </c>
      <c r="T35" s="6">
        <f t="shared" si="9"/>
        <v>1</v>
      </c>
    </row>
    <row r="36" spans="2:20" ht="20.149999999999999" customHeight="1" x14ac:dyDescent="0.35">
      <c r="B36" s="187">
        <v>17</v>
      </c>
      <c r="C36" s="187">
        <f t="shared" si="4"/>
        <v>46</v>
      </c>
      <c r="D36" s="502">
        <f t="shared" si="5"/>
        <v>13144558.52297643</v>
      </c>
      <c r="E36" s="503"/>
      <c r="F36" s="502">
        <f t="shared" si="0"/>
        <v>20000</v>
      </c>
      <c r="G36" s="503"/>
      <c r="H36" s="502">
        <f t="shared" si="1"/>
        <v>0</v>
      </c>
      <c r="I36" s="503"/>
      <c r="J36" s="502">
        <f t="shared" si="6"/>
        <v>0</v>
      </c>
      <c r="K36" s="503"/>
      <c r="L36" s="502">
        <f t="shared" si="7"/>
        <v>13144558.52297643</v>
      </c>
      <c r="M36" s="503"/>
      <c r="N36" s="502">
        <f t="shared" si="2"/>
        <v>15242632.489761021</v>
      </c>
      <c r="O36" s="503"/>
      <c r="Q36" s="6" t="b">
        <f t="shared" si="3"/>
        <v>0</v>
      </c>
      <c r="S36" s="6" t="b">
        <f t="shared" si="8"/>
        <v>0</v>
      </c>
      <c r="T36" s="6">
        <f t="shared" si="9"/>
        <v>0</v>
      </c>
    </row>
    <row r="37" spans="2:20" ht="20.149999999999999" customHeight="1" x14ac:dyDescent="0.35">
      <c r="B37" s="187">
        <v>18</v>
      </c>
      <c r="C37" s="187">
        <f t="shared" si="4"/>
        <v>47</v>
      </c>
      <c r="D37" s="502">
        <f t="shared" si="5"/>
        <v>15242632.489761021</v>
      </c>
      <c r="E37" s="503"/>
      <c r="F37" s="502">
        <f t="shared" si="0"/>
        <v>20000</v>
      </c>
      <c r="G37" s="503"/>
      <c r="H37" s="502">
        <f t="shared" si="1"/>
        <v>0</v>
      </c>
      <c r="I37" s="503"/>
      <c r="J37" s="502">
        <f t="shared" si="6"/>
        <v>0</v>
      </c>
      <c r="K37" s="503"/>
      <c r="L37" s="502">
        <f t="shared" si="7"/>
        <v>15242632.489761021</v>
      </c>
      <c r="M37" s="503"/>
      <c r="N37" s="502">
        <f t="shared" si="2"/>
        <v>17634436.811895452</v>
      </c>
      <c r="O37" s="503"/>
      <c r="Q37" s="6" t="b">
        <f t="shared" si="3"/>
        <v>0</v>
      </c>
      <c r="S37" s="6" t="b">
        <f t="shared" si="8"/>
        <v>0</v>
      </c>
      <c r="T37" s="6">
        <f t="shared" si="9"/>
        <v>1</v>
      </c>
    </row>
    <row r="38" spans="2:20" ht="20.149999999999999" customHeight="1" x14ac:dyDescent="0.35">
      <c r="B38" s="187">
        <v>19</v>
      </c>
      <c r="C38" s="187">
        <f t="shared" si="4"/>
        <v>48</v>
      </c>
      <c r="D38" s="502">
        <f t="shared" si="5"/>
        <v>17634436.811895452</v>
      </c>
      <c r="E38" s="503"/>
      <c r="F38" s="502">
        <f t="shared" si="0"/>
        <v>20000</v>
      </c>
      <c r="G38" s="503"/>
      <c r="H38" s="502">
        <f t="shared" si="1"/>
        <v>0</v>
      </c>
      <c r="I38" s="503"/>
      <c r="J38" s="502">
        <f t="shared" si="6"/>
        <v>0</v>
      </c>
      <c r="K38" s="503"/>
      <c r="L38" s="502">
        <f t="shared" si="7"/>
        <v>17634436.811895452</v>
      </c>
      <c r="M38" s="503"/>
      <c r="N38" s="502">
        <f t="shared" si="2"/>
        <v>20361093.739128701</v>
      </c>
      <c r="O38" s="503"/>
      <c r="Q38" s="6" t="b">
        <f t="shared" si="3"/>
        <v>0</v>
      </c>
      <c r="S38" s="6" t="b">
        <f t="shared" si="8"/>
        <v>0</v>
      </c>
      <c r="T38" s="6">
        <f t="shared" si="9"/>
        <v>0</v>
      </c>
    </row>
    <row r="39" spans="2:20" ht="20.149999999999999" customHeight="1" x14ac:dyDescent="0.35">
      <c r="B39" s="187">
        <v>20</v>
      </c>
      <c r="C39" s="187">
        <f t="shared" si="4"/>
        <v>49</v>
      </c>
      <c r="D39" s="502">
        <f t="shared" si="5"/>
        <v>20361093.739128701</v>
      </c>
      <c r="E39" s="503"/>
      <c r="F39" s="502">
        <f t="shared" si="0"/>
        <v>20000</v>
      </c>
      <c r="G39" s="503"/>
      <c r="H39" s="502">
        <f t="shared" si="1"/>
        <v>0</v>
      </c>
      <c r="I39" s="503"/>
      <c r="J39" s="502">
        <f t="shared" si="6"/>
        <v>0</v>
      </c>
      <c r="K39" s="503"/>
      <c r="L39" s="502">
        <f t="shared" si="7"/>
        <v>20361093.739128701</v>
      </c>
      <c r="M39" s="503"/>
      <c r="N39" s="502">
        <f t="shared" si="2"/>
        <v>23469482.636174604</v>
      </c>
      <c r="O39" s="503"/>
      <c r="Q39" s="6" t="b">
        <f t="shared" si="3"/>
        <v>0</v>
      </c>
      <c r="S39" s="6" t="b">
        <f t="shared" si="8"/>
        <v>0</v>
      </c>
      <c r="T39" s="6">
        <f t="shared" si="9"/>
        <v>1</v>
      </c>
    </row>
    <row r="40" spans="2:20" ht="20.149999999999999" customHeight="1" x14ac:dyDescent="0.35">
      <c r="B40" s="187">
        <v>21</v>
      </c>
      <c r="C40" s="187">
        <f t="shared" si="4"/>
        <v>50</v>
      </c>
      <c r="D40" s="502">
        <f t="shared" si="5"/>
        <v>23469482.636174604</v>
      </c>
      <c r="E40" s="503"/>
      <c r="F40" s="502">
        <f t="shared" si="0"/>
        <v>0</v>
      </c>
      <c r="G40" s="503"/>
      <c r="H40" s="502">
        <f t="shared" si="1"/>
        <v>200000</v>
      </c>
      <c r="I40" s="503"/>
      <c r="J40" s="502">
        <f t="shared" si="6"/>
        <v>2400000</v>
      </c>
      <c r="K40" s="503"/>
      <c r="L40" s="502">
        <f t="shared" si="7"/>
        <v>21069482.636174604</v>
      </c>
      <c r="M40" s="503"/>
      <c r="N40" s="502">
        <f t="shared" si="2"/>
        <v>23176430.899792071</v>
      </c>
      <c r="O40" s="503"/>
      <c r="Q40" s="6" t="b">
        <f t="shared" si="3"/>
        <v>0</v>
      </c>
      <c r="S40" s="6" t="b">
        <f t="shared" si="8"/>
        <v>0</v>
      </c>
      <c r="T40" s="6">
        <f t="shared" si="9"/>
        <v>0</v>
      </c>
    </row>
    <row r="41" spans="2:20" ht="20.149999999999999" customHeight="1" x14ac:dyDescent="0.35">
      <c r="B41" s="187">
        <v>22</v>
      </c>
      <c r="C41" s="187">
        <f t="shared" si="4"/>
        <v>51</v>
      </c>
      <c r="D41" s="502">
        <f t="shared" si="5"/>
        <v>23176430.899792071</v>
      </c>
      <c r="E41" s="503"/>
      <c r="F41" s="502">
        <f t="shared" si="0"/>
        <v>0</v>
      </c>
      <c r="G41" s="503"/>
      <c r="H41" s="502">
        <f t="shared" si="1"/>
        <v>200000</v>
      </c>
      <c r="I41" s="503"/>
      <c r="J41" s="502">
        <f t="shared" si="6"/>
        <v>2400000</v>
      </c>
      <c r="K41" s="503"/>
      <c r="L41" s="502">
        <f t="shared" si="7"/>
        <v>20776430.899792071</v>
      </c>
      <c r="M41" s="503"/>
      <c r="N41" s="502">
        <f t="shared" si="2"/>
        <v>22854073.989771284</v>
      </c>
      <c r="O41" s="503"/>
      <c r="Q41" s="6" t="b">
        <f t="shared" si="3"/>
        <v>0</v>
      </c>
      <c r="S41" s="6" t="b">
        <f t="shared" si="8"/>
        <v>0</v>
      </c>
      <c r="T41" s="6">
        <f t="shared" si="9"/>
        <v>1</v>
      </c>
    </row>
    <row r="42" spans="2:20" ht="20.149999999999999" customHeight="1" x14ac:dyDescent="0.35">
      <c r="B42" s="187">
        <v>23</v>
      </c>
      <c r="C42" s="187">
        <f t="shared" si="4"/>
        <v>52</v>
      </c>
      <c r="D42" s="502">
        <f t="shared" si="5"/>
        <v>22854073.989771284</v>
      </c>
      <c r="E42" s="503"/>
      <c r="F42" s="502">
        <f t="shared" si="0"/>
        <v>0</v>
      </c>
      <c r="G42" s="503"/>
      <c r="H42" s="502">
        <f t="shared" si="1"/>
        <v>200000</v>
      </c>
      <c r="I42" s="503"/>
      <c r="J42" s="502">
        <f t="shared" si="6"/>
        <v>2400000</v>
      </c>
      <c r="K42" s="503"/>
      <c r="L42" s="502">
        <f t="shared" si="7"/>
        <v>20454073.989771284</v>
      </c>
      <c r="M42" s="503"/>
      <c r="N42" s="502">
        <f t="shared" si="2"/>
        <v>22499481.388748419</v>
      </c>
      <c r="O42" s="503"/>
      <c r="Q42" s="6" t="b">
        <f t="shared" si="3"/>
        <v>0</v>
      </c>
      <c r="S42" s="6" t="b">
        <f t="shared" si="8"/>
        <v>0</v>
      </c>
      <c r="T42" s="6">
        <f t="shared" si="9"/>
        <v>0</v>
      </c>
    </row>
    <row r="43" spans="2:20" ht="20.149999999999999" customHeight="1" x14ac:dyDescent="0.35">
      <c r="B43" s="187">
        <v>24</v>
      </c>
      <c r="C43" s="187">
        <f t="shared" si="4"/>
        <v>53</v>
      </c>
      <c r="D43" s="502">
        <f t="shared" si="5"/>
        <v>22499481.388748419</v>
      </c>
      <c r="E43" s="503"/>
      <c r="F43" s="502">
        <f t="shared" si="0"/>
        <v>0</v>
      </c>
      <c r="G43" s="503"/>
      <c r="H43" s="502">
        <f t="shared" si="1"/>
        <v>200000</v>
      </c>
      <c r="I43" s="503"/>
      <c r="J43" s="502">
        <f t="shared" si="6"/>
        <v>2400000</v>
      </c>
      <c r="K43" s="503"/>
      <c r="L43" s="502">
        <f t="shared" si="7"/>
        <v>20099481.388748419</v>
      </c>
      <c r="M43" s="503"/>
      <c r="N43" s="502">
        <f t="shared" si="2"/>
        <v>22109429.527623266</v>
      </c>
      <c r="O43" s="503"/>
      <c r="Q43" s="6" t="b">
        <f t="shared" si="3"/>
        <v>0</v>
      </c>
      <c r="S43" s="6" t="b">
        <f t="shared" si="8"/>
        <v>0</v>
      </c>
      <c r="T43" s="6">
        <f t="shared" si="9"/>
        <v>1</v>
      </c>
    </row>
    <row r="44" spans="2:20" ht="20.149999999999999" customHeight="1" x14ac:dyDescent="0.35">
      <c r="B44" s="187">
        <v>25</v>
      </c>
      <c r="C44" s="187">
        <f t="shared" si="4"/>
        <v>54</v>
      </c>
      <c r="D44" s="502">
        <f t="shared" si="5"/>
        <v>22109429.527623266</v>
      </c>
      <c r="E44" s="503"/>
      <c r="F44" s="502">
        <f t="shared" si="0"/>
        <v>0</v>
      </c>
      <c r="G44" s="503"/>
      <c r="H44" s="502">
        <f t="shared" si="1"/>
        <v>200000</v>
      </c>
      <c r="I44" s="503"/>
      <c r="J44" s="502">
        <f t="shared" si="6"/>
        <v>2400000</v>
      </c>
      <c r="K44" s="503"/>
      <c r="L44" s="502">
        <f t="shared" si="7"/>
        <v>19709429.527623266</v>
      </c>
      <c r="M44" s="503"/>
      <c r="N44" s="502">
        <f t="shared" si="2"/>
        <v>21680372.480385598</v>
      </c>
      <c r="O44" s="503"/>
      <c r="Q44" s="6" t="b">
        <f t="shared" si="3"/>
        <v>0</v>
      </c>
      <c r="S44" s="6" t="b">
        <f t="shared" si="8"/>
        <v>0</v>
      </c>
      <c r="T44" s="6">
        <f t="shared" si="9"/>
        <v>0</v>
      </c>
    </row>
    <row r="45" spans="2:20" ht="20.149999999999999" customHeight="1" x14ac:dyDescent="0.35">
      <c r="B45" s="187">
        <v>26</v>
      </c>
      <c r="C45" s="187">
        <f t="shared" si="4"/>
        <v>55</v>
      </c>
      <c r="D45" s="502">
        <f t="shared" si="5"/>
        <v>21680372.480385598</v>
      </c>
      <c r="E45" s="503"/>
      <c r="F45" s="502">
        <f t="shared" si="0"/>
        <v>0</v>
      </c>
      <c r="G45" s="503"/>
      <c r="H45" s="502">
        <f t="shared" si="1"/>
        <v>200000</v>
      </c>
      <c r="I45" s="503"/>
      <c r="J45" s="502">
        <f t="shared" si="6"/>
        <v>2400000</v>
      </c>
      <c r="K45" s="503"/>
      <c r="L45" s="502">
        <f t="shared" si="7"/>
        <v>19280372.480385598</v>
      </c>
      <c r="M45" s="503"/>
      <c r="N45" s="502">
        <f t="shared" si="2"/>
        <v>21208409.728424165</v>
      </c>
      <c r="O45" s="503"/>
      <c r="Q45" s="6" t="b">
        <f t="shared" si="3"/>
        <v>0</v>
      </c>
      <c r="S45" s="6" t="b">
        <f t="shared" si="8"/>
        <v>0</v>
      </c>
      <c r="T45" s="6">
        <f t="shared" si="9"/>
        <v>1</v>
      </c>
    </row>
    <row r="46" spans="2:20" ht="20.149999999999999" customHeight="1" x14ac:dyDescent="0.35">
      <c r="B46" s="187">
        <v>27</v>
      </c>
      <c r="C46" s="187">
        <f t="shared" si="4"/>
        <v>56</v>
      </c>
      <c r="D46" s="502">
        <f t="shared" si="5"/>
        <v>21208409.728424165</v>
      </c>
      <c r="E46" s="503"/>
      <c r="F46" s="502">
        <f t="shared" si="0"/>
        <v>0</v>
      </c>
      <c r="G46" s="503"/>
      <c r="H46" s="502">
        <f t="shared" si="1"/>
        <v>200000</v>
      </c>
      <c r="I46" s="503"/>
      <c r="J46" s="502">
        <f t="shared" si="6"/>
        <v>2400000</v>
      </c>
      <c r="K46" s="503"/>
      <c r="L46" s="502">
        <f t="shared" si="7"/>
        <v>18808409.728424165</v>
      </c>
      <c r="M46" s="503"/>
      <c r="N46" s="502">
        <f t="shared" si="2"/>
        <v>20689250.701266587</v>
      </c>
      <c r="O46" s="503"/>
      <c r="Q46" s="6" t="b">
        <f t="shared" si="3"/>
        <v>0</v>
      </c>
      <c r="S46" s="6" t="b">
        <f t="shared" si="8"/>
        <v>0</v>
      </c>
      <c r="T46" s="6">
        <f t="shared" si="9"/>
        <v>0</v>
      </c>
    </row>
    <row r="47" spans="2:20" ht="20.149999999999999" customHeight="1" x14ac:dyDescent="0.35">
      <c r="B47" s="187">
        <v>28</v>
      </c>
      <c r="C47" s="187">
        <f t="shared" si="4"/>
        <v>57</v>
      </c>
      <c r="D47" s="502">
        <f t="shared" si="5"/>
        <v>20689250.701266587</v>
      </c>
      <c r="E47" s="503"/>
      <c r="F47" s="502">
        <f t="shared" si="0"/>
        <v>0</v>
      </c>
      <c r="G47" s="503"/>
      <c r="H47" s="502">
        <f t="shared" si="1"/>
        <v>200000</v>
      </c>
      <c r="I47" s="503"/>
      <c r="J47" s="502">
        <f t="shared" si="6"/>
        <v>2400000</v>
      </c>
      <c r="K47" s="503"/>
      <c r="L47" s="502">
        <f t="shared" si="7"/>
        <v>18289250.701266587</v>
      </c>
      <c r="M47" s="503"/>
      <c r="N47" s="502">
        <f t="shared" si="2"/>
        <v>20118175.771393251</v>
      </c>
      <c r="O47" s="503"/>
      <c r="Q47" s="6" t="b">
        <f t="shared" si="3"/>
        <v>0</v>
      </c>
      <c r="S47" s="6" t="b">
        <f t="shared" si="8"/>
        <v>0</v>
      </c>
      <c r="T47" s="6">
        <f t="shared" si="9"/>
        <v>1</v>
      </c>
    </row>
    <row r="48" spans="2:20" ht="20.149999999999999" customHeight="1" x14ac:dyDescent="0.35">
      <c r="B48" s="187">
        <v>29</v>
      </c>
      <c r="C48" s="187">
        <f t="shared" si="4"/>
        <v>58</v>
      </c>
      <c r="D48" s="502">
        <f t="shared" si="5"/>
        <v>20118175.771393251</v>
      </c>
      <c r="E48" s="503"/>
      <c r="F48" s="502">
        <f t="shared" si="0"/>
        <v>0</v>
      </c>
      <c r="G48" s="503"/>
      <c r="H48" s="502">
        <f t="shared" si="1"/>
        <v>200000</v>
      </c>
      <c r="I48" s="503"/>
      <c r="J48" s="502">
        <f t="shared" si="6"/>
        <v>2400000</v>
      </c>
      <c r="K48" s="503"/>
      <c r="L48" s="502">
        <f t="shared" si="7"/>
        <v>17718175.771393251</v>
      </c>
      <c r="M48" s="503"/>
      <c r="N48" s="502">
        <f t="shared" si="2"/>
        <v>19489993.34853258</v>
      </c>
      <c r="O48" s="503"/>
      <c r="Q48" s="6" t="b">
        <f t="shared" si="3"/>
        <v>0</v>
      </c>
      <c r="S48" s="6" t="b">
        <f t="shared" si="8"/>
        <v>0</v>
      </c>
      <c r="T48" s="6">
        <f t="shared" si="9"/>
        <v>0</v>
      </c>
    </row>
    <row r="49" spans="2:20" ht="20.149999999999999" customHeight="1" x14ac:dyDescent="0.35">
      <c r="B49" s="187">
        <v>30</v>
      </c>
      <c r="C49" s="187">
        <f t="shared" si="4"/>
        <v>59</v>
      </c>
      <c r="D49" s="502">
        <f t="shared" si="5"/>
        <v>19489993.34853258</v>
      </c>
      <c r="E49" s="503"/>
      <c r="F49" s="502">
        <f t="shared" si="0"/>
        <v>0</v>
      </c>
      <c r="G49" s="503"/>
      <c r="H49" s="502">
        <f t="shared" si="1"/>
        <v>200000</v>
      </c>
      <c r="I49" s="503"/>
      <c r="J49" s="502">
        <f t="shared" si="6"/>
        <v>2400000</v>
      </c>
      <c r="K49" s="503"/>
      <c r="L49" s="502">
        <f t="shared" si="7"/>
        <v>17089993.34853258</v>
      </c>
      <c r="M49" s="503"/>
      <c r="N49" s="502">
        <f t="shared" si="2"/>
        <v>18798992.683385842</v>
      </c>
      <c r="O49" s="503"/>
      <c r="Q49" s="6" t="b">
        <f t="shared" si="3"/>
        <v>0</v>
      </c>
      <c r="S49" s="6" t="b">
        <f t="shared" si="8"/>
        <v>0</v>
      </c>
      <c r="T49" s="6">
        <f t="shared" si="9"/>
        <v>1</v>
      </c>
    </row>
    <row r="50" spans="2:20" ht="20.149999999999999" customHeight="1" x14ac:dyDescent="0.35">
      <c r="B50" s="187">
        <v>31</v>
      </c>
      <c r="C50" s="187">
        <f t="shared" si="4"/>
        <v>60</v>
      </c>
      <c r="D50" s="502">
        <f t="shared" si="5"/>
        <v>18798992.683385842</v>
      </c>
      <c r="E50" s="503"/>
      <c r="F50" s="502">
        <f t="shared" si="0"/>
        <v>0</v>
      </c>
      <c r="G50" s="503"/>
      <c r="H50" s="502">
        <f t="shared" si="1"/>
        <v>200000</v>
      </c>
      <c r="I50" s="503"/>
      <c r="J50" s="502">
        <f t="shared" si="6"/>
        <v>2400000</v>
      </c>
      <c r="K50" s="503"/>
      <c r="L50" s="502">
        <f t="shared" si="7"/>
        <v>16398992.683385842</v>
      </c>
      <c r="M50" s="503"/>
      <c r="N50" s="502">
        <f t="shared" si="2"/>
        <v>18038891.951724432</v>
      </c>
      <c r="O50" s="503"/>
      <c r="Q50" s="6" t="b">
        <f t="shared" si="3"/>
        <v>0</v>
      </c>
      <c r="S50" s="6" t="b">
        <f t="shared" si="8"/>
        <v>0</v>
      </c>
      <c r="T50" s="6">
        <f t="shared" si="9"/>
        <v>0</v>
      </c>
    </row>
    <row r="51" spans="2:20" ht="20.149999999999999" customHeight="1" x14ac:dyDescent="0.35">
      <c r="B51" s="187">
        <v>32</v>
      </c>
      <c r="C51" s="187">
        <f t="shared" si="4"/>
        <v>61</v>
      </c>
      <c r="D51" s="502">
        <f t="shared" si="5"/>
        <v>18038891.951724432</v>
      </c>
      <c r="E51" s="503"/>
      <c r="F51" s="502">
        <f t="shared" si="0"/>
        <v>0</v>
      </c>
      <c r="G51" s="503"/>
      <c r="H51" s="502">
        <f t="shared" si="1"/>
        <v>200000</v>
      </c>
      <c r="I51" s="503"/>
      <c r="J51" s="502">
        <f t="shared" si="6"/>
        <v>2400000</v>
      </c>
      <c r="K51" s="503"/>
      <c r="L51" s="502">
        <f t="shared" si="7"/>
        <v>15638891.951724432</v>
      </c>
      <c r="M51" s="503"/>
      <c r="N51" s="502">
        <f t="shared" si="2"/>
        <v>17202781.14689688</v>
      </c>
      <c r="O51" s="503"/>
      <c r="Q51" s="6" t="b">
        <f t="shared" si="3"/>
        <v>0</v>
      </c>
      <c r="S51" s="6" t="b">
        <f t="shared" si="8"/>
        <v>0</v>
      </c>
      <c r="T51" s="6">
        <f t="shared" si="9"/>
        <v>1</v>
      </c>
    </row>
    <row r="52" spans="2:20" ht="20.149999999999999" customHeight="1" x14ac:dyDescent="0.35">
      <c r="B52" s="187">
        <v>33</v>
      </c>
      <c r="C52" s="187">
        <f t="shared" si="4"/>
        <v>62</v>
      </c>
      <c r="D52" s="502">
        <f t="shared" si="5"/>
        <v>17202781.14689688</v>
      </c>
      <c r="E52" s="503"/>
      <c r="F52" s="502">
        <f t="shared" si="0"/>
        <v>0</v>
      </c>
      <c r="G52" s="503"/>
      <c r="H52" s="502">
        <f t="shared" si="1"/>
        <v>200000</v>
      </c>
      <c r="I52" s="503"/>
      <c r="J52" s="502">
        <f t="shared" si="6"/>
        <v>2400000</v>
      </c>
      <c r="K52" s="503"/>
      <c r="L52" s="502">
        <f t="shared" si="7"/>
        <v>14802781.14689688</v>
      </c>
      <c r="M52" s="503"/>
      <c r="N52" s="502">
        <f t="shared" si="2"/>
        <v>16283059.261586573</v>
      </c>
      <c r="O52" s="503"/>
      <c r="Q52" s="6" t="b">
        <f t="shared" si="3"/>
        <v>0</v>
      </c>
      <c r="S52" s="6" t="b">
        <f t="shared" si="8"/>
        <v>0</v>
      </c>
      <c r="T52" s="6">
        <f t="shared" si="9"/>
        <v>0</v>
      </c>
    </row>
    <row r="53" spans="2:20" ht="20.149999999999999" customHeight="1" x14ac:dyDescent="0.35">
      <c r="B53" s="187">
        <v>34</v>
      </c>
      <c r="C53" s="187">
        <f t="shared" si="4"/>
        <v>63</v>
      </c>
      <c r="D53" s="502">
        <f t="shared" si="5"/>
        <v>16283059.261586573</v>
      </c>
      <c r="E53" s="503"/>
      <c r="F53" s="502">
        <f t="shared" ref="F53:F84" si="10">IF(B53&gt;$H$7,0, F52*(1+$H$6))</f>
        <v>0</v>
      </c>
      <c r="G53" s="503"/>
      <c r="H53" s="502">
        <f t="shared" ref="H53:H84" si="11">IF(OR(L52=0,B52&lt;($H$7+$H$8)),0,IF(H52=0,FV($H$12,B53,,-$H$11),H52*(1+$H$12)))</f>
        <v>200000</v>
      </c>
      <c r="I53" s="503"/>
      <c r="J53" s="502">
        <f t="shared" si="6"/>
        <v>2400000</v>
      </c>
      <c r="K53" s="503"/>
      <c r="L53" s="502">
        <f t="shared" si="7"/>
        <v>13883059.261586573</v>
      </c>
      <c r="M53" s="503"/>
      <c r="N53" s="502">
        <f t="shared" ref="N53:N84" si="12">IF(B52&gt;=MAX($H$7,$H$8), FV((1+$H$13)^(1/12)-1,12,-F53,-L53,1), FV((1+$H$10)^(1/12)-1,12,-F53,-L53,1))</f>
        <v>15271365.187745234</v>
      </c>
      <c r="O53" s="503"/>
      <c r="Q53" s="6" t="b">
        <f t="shared" ref="Q53:Q84" si="13">L53=0</f>
        <v>0</v>
      </c>
      <c r="S53" s="6" t="b">
        <f t="shared" si="8"/>
        <v>0</v>
      </c>
      <c r="T53" s="6">
        <f t="shared" si="9"/>
        <v>1</v>
      </c>
    </row>
    <row r="54" spans="2:20" ht="20.149999999999999" customHeight="1" x14ac:dyDescent="0.35">
      <c r="B54" s="187">
        <v>35</v>
      </c>
      <c r="C54" s="187">
        <f t="shared" si="4"/>
        <v>64</v>
      </c>
      <c r="D54" s="502">
        <f t="shared" si="5"/>
        <v>15271365.187745234</v>
      </c>
      <c r="E54" s="503"/>
      <c r="F54" s="502">
        <f t="shared" si="10"/>
        <v>0</v>
      </c>
      <c r="G54" s="503"/>
      <c r="H54" s="502">
        <f t="shared" si="11"/>
        <v>200000</v>
      </c>
      <c r="I54" s="503"/>
      <c r="J54" s="502">
        <f t="shared" si="6"/>
        <v>2400000</v>
      </c>
      <c r="K54" s="503"/>
      <c r="L54" s="502">
        <f t="shared" si="7"/>
        <v>12871365.187745234</v>
      </c>
      <c r="M54" s="503"/>
      <c r="N54" s="502">
        <f t="shared" si="12"/>
        <v>14158501.706519762</v>
      </c>
      <c r="O54" s="503"/>
      <c r="Q54" s="6" t="b">
        <f t="shared" si="13"/>
        <v>0</v>
      </c>
      <c r="S54" s="6" t="b">
        <f t="shared" ref="S54:S85" si="14">L53=0</f>
        <v>0</v>
      </c>
      <c r="T54" s="6">
        <f t="shared" si="9"/>
        <v>0</v>
      </c>
    </row>
    <row r="55" spans="2:20" ht="20.149999999999999" customHeight="1" x14ac:dyDescent="0.35">
      <c r="B55" s="187">
        <v>36</v>
      </c>
      <c r="C55" s="187">
        <f t="shared" si="4"/>
        <v>65</v>
      </c>
      <c r="D55" s="502">
        <f t="shared" si="5"/>
        <v>14158501.706519762</v>
      </c>
      <c r="E55" s="503"/>
      <c r="F55" s="502">
        <f t="shared" si="10"/>
        <v>0</v>
      </c>
      <c r="G55" s="503"/>
      <c r="H55" s="502">
        <f t="shared" si="11"/>
        <v>200000</v>
      </c>
      <c r="I55" s="503"/>
      <c r="J55" s="502">
        <f t="shared" si="6"/>
        <v>2400000</v>
      </c>
      <c r="K55" s="503"/>
      <c r="L55" s="502">
        <f t="shared" si="7"/>
        <v>11758501.706519762</v>
      </c>
      <c r="M55" s="503"/>
      <c r="N55" s="502">
        <f t="shared" si="12"/>
        <v>12934351.877171742</v>
      </c>
      <c r="O55" s="503"/>
      <c r="Q55" s="6" t="b">
        <f t="shared" si="13"/>
        <v>0</v>
      </c>
      <c r="S55" s="6" t="b">
        <f t="shared" si="14"/>
        <v>0</v>
      </c>
      <c r="T55" s="6">
        <f t="shared" si="9"/>
        <v>1</v>
      </c>
    </row>
    <row r="56" spans="2:20" ht="20.149999999999999" customHeight="1" x14ac:dyDescent="0.35">
      <c r="B56" s="187">
        <v>37</v>
      </c>
      <c r="C56" s="187">
        <f t="shared" si="4"/>
        <v>66</v>
      </c>
      <c r="D56" s="502">
        <f t="shared" si="5"/>
        <v>12934351.877171742</v>
      </c>
      <c r="E56" s="503"/>
      <c r="F56" s="502">
        <f t="shared" si="10"/>
        <v>0</v>
      </c>
      <c r="G56" s="503"/>
      <c r="H56" s="502">
        <f t="shared" si="11"/>
        <v>200000</v>
      </c>
      <c r="I56" s="503"/>
      <c r="J56" s="502">
        <f t="shared" si="6"/>
        <v>2400000</v>
      </c>
      <c r="K56" s="503"/>
      <c r="L56" s="502">
        <f t="shared" si="7"/>
        <v>10534351.877171742</v>
      </c>
      <c r="M56" s="503"/>
      <c r="N56" s="502">
        <f t="shared" si="12"/>
        <v>11587787.064888919</v>
      </c>
      <c r="O56" s="503"/>
      <c r="Q56" s="6" t="b">
        <f t="shared" si="13"/>
        <v>0</v>
      </c>
      <c r="S56" s="6" t="b">
        <f t="shared" si="14"/>
        <v>0</v>
      </c>
      <c r="T56" s="6">
        <f t="shared" si="9"/>
        <v>0</v>
      </c>
    </row>
    <row r="57" spans="2:20" ht="20.149999999999999" customHeight="1" x14ac:dyDescent="0.35">
      <c r="B57" s="187">
        <v>38</v>
      </c>
      <c r="C57" s="187">
        <f t="shared" si="4"/>
        <v>67</v>
      </c>
      <c r="D57" s="502">
        <f t="shared" si="5"/>
        <v>11587787.064888919</v>
      </c>
      <c r="E57" s="503"/>
      <c r="F57" s="502">
        <f t="shared" si="10"/>
        <v>0</v>
      </c>
      <c r="G57" s="503"/>
      <c r="H57" s="502">
        <f t="shared" si="11"/>
        <v>200000</v>
      </c>
      <c r="I57" s="503"/>
      <c r="J57" s="502">
        <f t="shared" si="6"/>
        <v>2400000</v>
      </c>
      <c r="K57" s="503"/>
      <c r="L57" s="502">
        <f t="shared" si="7"/>
        <v>9187787.0648889188</v>
      </c>
      <c r="M57" s="503"/>
      <c r="N57" s="502">
        <f t="shared" si="12"/>
        <v>10106565.771377813</v>
      </c>
      <c r="O57" s="503"/>
      <c r="Q57" s="6" t="b">
        <f t="shared" si="13"/>
        <v>0</v>
      </c>
      <c r="S57" s="6" t="b">
        <f t="shared" si="14"/>
        <v>0</v>
      </c>
      <c r="T57" s="6">
        <f t="shared" si="9"/>
        <v>1</v>
      </c>
    </row>
    <row r="58" spans="2:20" ht="20.149999999999999" customHeight="1" x14ac:dyDescent="0.35">
      <c r="B58" s="187">
        <v>39</v>
      </c>
      <c r="C58" s="187">
        <f t="shared" si="4"/>
        <v>68</v>
      </c>
      <c r="D58" s="502">
        <f t="shared" si="5"/>
        <v>10106565.771377813</v>
      </c>
      <c r="E58" s="503"/>
      <c r="F58" s="502">
        <f t="shared" si="10"/>
        <v>0</v>
      </c>
      <c r="G58" s="503"/>
      <c r="H58" s="502">
        <f t="shared" si="11"/>
        <v>200000</v>
      </c>
      <c r="I58" s="503"/>
      <c r="J58" s="502">
        <f t="shared" si="6"/>
        <v>2400000</v>
      </c>
      <c r="K58" s="503"/>
      <c r="L58" s="502">
        <f t="shared" si="7"/>
        <v>7706565.7713778131</v>
      </c>
      <c r="M58" s="503"/>
      <c r="N58" s="502">
        <f t="shared" si="12"/>
        <v>8477222.3485155962</v>
      </c>
      <c r="O58" s="503"/>
      <c r="Q58" s="6" t="b">
        <f t="shared" si="13"/>
        <v>0</v>
      </c>
      <c r="S58" s="6" t="b">
        <f t="shared" si="14"/>
        <v>0</v>
      </c>
      <c r="T58" s="6">
        <f t="shared" si="9"/>
        <v>0</v>
      </c>
    </row>
    <row r="59" spans="2:20" ht="20.149999999999999" customHeight="1" x14ac:dyDescent="0.35">
      <c r="B59" s="187">
        <v>40</v>
      </c>
      <c r="C59" s="187">
        <f t="shared" si="4"/>
        <v>69</v>
      </c>
      <c r="D59" s="502">
        <f t="shared" si="5"/>
        <v>8477222.3485155962</v>
      </c>
      <c r="E59" s="503"/>
      <c r="F59" s="502">
        <f t="shared" si="10"/>
        <v>0</v>
      </c>
      <c r="G59" s="503"/>
      <c r="H59" s="502">
        <f t="shared" si="11"/>
        <v>200000</v>
      </c>
      <c r="I59" s="503"/>
      <c r="J59" s="502">
        <f t="shared" si="6"/>
        <v>2400000</v>
      </c>
      <c r="K59" s="503"/>
      <c r="L59" s="502">
        <f t="shared" si="7"/>
        <v>6077222.3485155962</v>
      </c>
      <c r="M59" s="503"/>
      <c r="N59" s="502">
        <f t="shared" si="12"/>
        <v>6684944.5833671577</v>
      </c>
      <c r="O59" s="503"/>
      <c r="Q59" s="6" t="b">
        <f t="shared" si="13"/>
        <v>0</v>
      </c>
      <c r="S59" s="6" t="b">
        <f t="shared" si="14"/>
        <v>0</v>
      </c>
      <c r="T59" s="6">
        <f t="shared" si="9"/>
        <v>1</v>
      </c>
    </row>
    <row r="60" spans="2:20" ht="20.149999999999999" customHeight="1" x14ac:dyDescent="0.35">
      <c r="B60" s="187">
        <v>41</v>
      </c>
      <c r="C60" s="187">
        <f t="shared" si="4"/>
        <v>70</v>
      </c>
      <c r="D60" s="502">
        <f t="shared" si="5"/>
        <v>6684944.5833671577</v>
      </c>
      <c r="E60" s="503"/>
      <c r="F60" s="502">
        <f t="shared" si="10"/>
        <v>0</v>
      </c>
      <c r="G60" s="503"/>
      <c r="H60" s="502">
        <f t="shared" si="11"/>
        <v>200000</v>
      </c>
      <c r="I60" s="503"/>
      <c r="J60" s="502">
        <f t="shared" si="6"/>
        <v>2400000</v>
      </c>
      <c r="K60" s="503"/>
      <c r="L60" s="502">
        <f t="shared" si="7"/>
        <v>4284944.5833671577</v>
      </c>
      <c r="M60" s="503"/>
      <c r="N60" s="502">
        <f t="shared" si="12"/>
        <v>4713439.0417038752</v>
      </c>
      <c r="O60" s="503"/>
      <c r="Q60" s="6" t="b">
        <f t="shared" si="13"/>
        <v>0</v>
      </c>
      <c r="S60" s="6" t="b">
        <f t="shared" si="14"/>
        <v>0</v>
      </c>
      <c r="T60" s="6">
        <f t="shared" si="9"/>
        <v>0</v>
      </c>
    </row>
    <row r="61" spans="2:20" ht="20.149999999999999" customHeight="1" x14ac:dyDescent="0.35">
      <c r="B61" s="187">
        <v>42</v>
      </c>
      <c r="C61" s="187">
        <f t="shared" si="4"/>
        <v>71</v>
      </c>
      <c r="D61" s="502">
        <f t="shared" si="5"/>
        <v>4713439.0417038752</v>
      </c>
      <c r="E61" s="503"/>
      <c r="F61" s="502">
        <f t="shared" si="10"/>
        <v>0</v>
      </c>
      <c r="G61" s="503"/>
      <c r="H61" s="502">
        <f t="shared" si="11"/>
        <v>200000</v>
      </c>
      <c r="I61" s="503"/>
      <c r="J61" s="502">
        <f t="shared" si="6"/>
        <v>2400000</v>
      </c>
      <c r="K61" s="503"/>
      <c r="L61" s="502">
        <f t="shared" si="7"/>
        <v>2313439.0417038752</v>
      </c>
      <c r="M61" s="503"/>
      <c r="N61" s="502">
        <f t="shared" si="12"/>
        <v>2544782.9458742635</v>
      </c>
      <c r="O61" s="503"/>
      <c r="Q61" s="6" t="b">
        <f t="shared" si="13"/>
        <v>0</v>
      </c>
      <c r="S61" s="6" t="b">
        <f t="shared" si="14"/>
        <v>0</v>
      </c>
      <c r="T61" s="6">
        <f t="shared" si="9"/>
        <v>1</v>
      </c>
    </row>
    <row r="62" spans="2:20" ht="20.149999999999999" customHeight="1" x14ac:dyDescent="0.35">
      <c r="B62" s="187">
        <v>43</v>
      </c>
      <c r="C62" s="187">
        <f t="shared" si="4"/>
        <v>72</v>
      </c>
      <c r="D62" s="502">
        <f t="shared" si="5"/>
        <v>2544782.9458742635</v>
      </c>
      <c r="E62" s="503"/>
      <c r="F62" s="502">
        <f t="shared" si="10"/>
        <v>0</v>
      </c>
      <c r="G62" s="503"/>
      <c r="H62" s="502">
        <f t="shared" si="11"/>
        <v>200000</v>
      </c>
      <c r="I62" s="503"/>
      <c r="J62" s="502">
        <f t="shared" si="6"/>
        <v>2400000</v>
      </c>
      <c r="K62" s="503"/>
      <c r="L62" s="502">
        <f t="shared" si="7"/>
        <v>144782.94587426353</v>
      </c>
      <c r="M62" s="503"/>
      <c r="N62" s="502">
        <f t="shared" si="12"/>
        <v>159261.24046168994</v>
      </c>
      <c r="O62" s="503"/>
      <c r="Q62" s="6" t="b">
        <f t="shared" si="13"/>
        <v>0</v>
      </c>
      <c r="S62" s="6" t="b">
        <f t="shared" si="14"/>
        <v>0</v>
      </c>
      <c r="T62" s="6">
        <f t="shared" si="9"/>
        <v>0</v>
      </c>
    </row>
    <row r="63" spans="2:20" ht="20.149999999999999" customHeight="1" x14ac:dyDescent="0.35">
      <c r="B63" s="187">
        <v>44</v>
      </c>
      <c r="C63" s="187">
        <f t="shared" si="4"/>
        <v>73</v>
      </c>
      <c r="D63" s="502">
        <f t="shared" si="5"/>
        <v>159261.24046168994</v>
      </c>
      <c r="E63" s="503"/>
      <c r="F63" s="502">
        <f t="shared" si="10"/>
        <v>0</v>
      </c>
      <c r="G63" s="503"/>
      <c r="H63" s="502">
        <f t="shared" si="11"/>
        <v>200000</v>
      </c>
      <c r="I63" s="503"/>
      <c r="J63" s="502">
        <f t="shared" si="6"/>
        <v>2400000</v>
      </c>
      <c r="K63" s="503"/>
      <c r="L63" s="502">
        <f t="shared" si="7"/>
        <v>0</v>
      </c>
      <c r="M63" s="503"/>
      <c r="N63" s="502">
        <f t="shared" si="12"/>
        <v>0</v>
      </c>
      <c r="O63" s="503"/>
      <c r="Q63" s="6" t="b">
        <f t="shared" si="13"/>
        <v>1</v>
      </c>
      <c r="S63" s="6" t="b">
        <f t="shared" si="14"/>
        <v>0</v>
      </c>
      <c r="T63" s="6">
        <f t="shared" si="9"/>
        <v>1</v>
      </c>
    </row>
    <row r="64" spans="2:20" ht="20.149999999999999" customHeight="1" x14ac:dyDescent="0.35">
      <c r="B64" s="187">
        <v>45</v>
      </c>
      <c r="C64" s="187">
        <f t="shared" si="4"/>
        <v>74</v>
      </c>
      <c r="D64" s="502">
        <f t="shared" si="5"/>
        <v>0</v>
      </c>
      <c r="E64" s="503"/>
      <c r="F64" s="502">
        <f t="shared" si="10"/>
        <v>0</v>
      </c>
      <c r="G64" s="503"/>
      <c r="H64" s="502">
        <f t="shared" si="11"/>
        <v>0</v>
      </c>
      <c r="I64" s="503"/>
      <c r="J64" s="502">
        <f t="shared" si="6"/>
        <v>0</v>
      </c>
      <c r="K64" s="503"/>
      <c r="L64" s="502">
        <f t="shared" si="7"/>
        <v>0</v>
      </c>
      <c r="M64" s="503"/>
      <c r="N64" s="502">
        <f t="shared" si="12"/>
        <v>0</v>
      </c>
      <c r="O64" s="503"/>
      <c r="Q64" s="6" t="b">
        <f t="shared" si="13"/>
        <v>1</v>
      </c>
      <c r="S64" s="6" t="b">
        <f t="shared" si="14"/>
        <v>1</v>
      </c>
      <c r="T64" s="6">
        <f t="shared" si="9"/>
        <v>0</v>
      </c>
    </row>
    <row r="65" spans="2:20" ht="20.149999999999999" customHeight="1" x14ac:dyDescent="0.35">
      <c r="B65" s="187">
        <v>46</v>
      </c>
      <c r="C65" s="187">
        <f t="shared" si="4"/>
        <v>75</v>
      </c>
      <c r="D65" s="502">
        <f t="shared" si="5"/>
        <v>0</v>
      </c>
      <c r="E65" s="503"/>
      <c r="F65" s="502">
        <f t="shared" si="10"/>
        <v>0</v>
      </c>
      <c r="G65" s="503"/>
      <c r="H65" s="502">
        <f t="shared" si="11"/>
        <v>0</v>
      </c>
      <c r="I65" s="503"/>
      <c r="J65" s="502">
        <f t="shared" si="6"/>
        <v>0</v>
      </c>
      <c r="K65" s="503"/>
      <c r="L65" s="502">
        <f t="shared" si="7"/>
        <v>0</v>
      </c>
      <c r="M65" s="503"/>
      <c r="N65" s="502">
        <f t="shared" si="12"/>
        <v>0</v>
      </c>
      <c r="O65" s="503"/>
      <c r="Q65" s="6" t="b">
        <f t="shared" si="13"/>
        <v>1</v>
      </c>
      <c r="S65" s="6" t="b">
        <f t="shared" si="14"/>
        <v>1</v>
      </c>
      <c r="T65" s="6">
        <f t="shared" si="9"/>
        <v>1</v>
      </c>
    </row>
    <row r="66" spans="2:20" ht="20.149999999999999" customHeight="1" x14ac:dyDescent="0.35">
      <c r="B66" s="187">
        <v>47</v>
      </c>
      <c r="C66" s="187">
        <f t="shared" si="4"/>
        <v>76</v>
      </c>
      <c r="D66" s="502">
        <f t="shared" si="5"/>
        <v>0</v>
      </c>
      <c r="E66" s="503"/>
      <c r="F66" s="502">
        <f t="shared" si="10"/>
        <v>0</v>
      </c>
      <c r="G66" s="503"/>
      <c r="H66" s="502">
        <f t="shared" si="11"/>
        <v>0</v>
      </c>
      <c r="I66" s="503"/>
      <c r="J66" s="502">
        <f t="shared" si="6"/>
        <v>0</v>
      </c>
      <c r="K66" s="503"/>
      <c r="L66" s="502">
        <f t="shared" si="7"/>
        <v>0</v>
      </c>
      <c r="M66" s="503"/>
      <c r="N66" s="502">
        <f t="shared" si="12"/>
        <v>0</v>
      </c>
      <c r="O66" s="503"/>
      <c r="Q66" s="6" t="b">
        <f t="shared" si="13"/>
        <v>1</v>
      </c>
      <c r="S66" s="6" t="b">
        <f t="shared" si="14"/>
        <v>1</v>
      </c>
      <c r="T66" s="6">
        <f t="shared" si="9"/>
        <v>0</v>
      </c>
    </row>
    <row r="67" spans="2:20" ht="20.149999999999999" customHeight="1" x14ac:dyDescent="0.35">
      <c r="B67" s="187">
        <v>48</v>
      </c>
      <c r="C67" s="187">
        <f t="shared" si="4"/>
        <v>77</v>
      </c>
      <c r="D67" s="502">
        <f t="shared" si="5"/>
        <v>0</v>
      </c>
      <c r="E67" s="503"/>
      <c r="F67" s="502">
        <f t="shared" si="10"/>
        <v>0</v>
      </c>
      <c r="G67" s="503"/>
      <c r="H67" s="502">
        <f t="shared" si="11"/>
        <v>0</v>
      </c>
      <c r="I67" s="503"/>
      <c r="J67" s="502">
        <f t="shared" si="6"/>
        <v>0</v>
      </c>
      <c r="K67" s="503"/>
      <c r="L67" s="502">
        <f t="shared" si="7"/>
        <v>0</v>
      </c>
      <c r="M67" s="503"/>
      <c r="N67" s="502">
        <f t="shared" si="12"/>
        <v>0</v>
      </c>
      <c r="O67" s="503"/>
      <c r="Q67" s="6" t="b">
        <f t="shared" si="13"/>
        <v>1</v>
      </c>
      <c r="S67" s="6" t="b">
        <f t="shared" si="14"/>
        <v>1</v>
      </c>
      <c r="T67" s="6">
        <f t="shared" si="9"/>
        <v>1</v>
      </c>
    </row>
    <row r="68" spans="2:20" ht="20.149999999999999" customHeight="1" x14ac:dyDescent="0.35">
      <c r="B68" s="187">
        <v>49</v>
      </c>
      <c r="C68" s="187">
        <f t="shared" si="4"/>
        <v>78</v>
      </c>
      <c r="D68" s="502">
        <f t="shared" si="5"/>
        <v>0</v>
      </c>
      <c r="E68" s="503"/>
      <c r="F68" s="502">
        <f t="shared" si="10"/>
        <v>0</v>
      </c>
      <c r="G68" s="503"/>
      <c r="H68" s="502">
        <f t="shared" si="11"/>
        <v>0</v>
      </c>
      <c r="I68" s="503"/>
      <c r="J68" s="502">
        <f t="shared" si="6"/>
        <v>0</v>
      </c>
      <c r="K68" s="503"/>
      <c r="L68" s="502">
        <f t="shared" si="7"/>
        <v>0</v>
      </c>
      <c r="M68" s="503"/>
      <c r="N68" s="502">
        <f t="shared" si="12"/>
        <v>0</v>
      </c>
      <c r="O68" s="503"/>
      <c r="Q68" s="6" t="b">
        <f t="shared" si="13"/>
        <v>1</v>
      </c>
      <c r="S68" s="6" t="b">
        <f t="shared" si="14"/>
        <v>1</v>
      </c>
      <c r="T68" s="6">
        <f t="shared" si="9"/>
        <v>0</v>
      </c>
    </row>
    <row r="69" spans="2:20" ht="20.149999999999999" customHeight="1" x14ac:dyDescent="0.35">
      <c r="B69" s="187">
        <v>50</v>
      </c>
      <c r="C69" s="187">
        <f t="shared" si="4"/>
        <v>79</v>
      </c>
      <c r="D69" s="502">
        <f t="shared" si="5"/>
        <v>0</v>
      </c>
      <c r="E69" s="503"/>
      <c r="F69" s="502">
        <f t="shared" si="10"/>
        <v>0</v>
      </c>
      <c r="G69" s="503"/>
      <c r="H69" s="502">
        <f t="shared" si="11"/>
        <v>0</v>
      </c>
      <c r="I69" s="503"/>
      <c r="J69" s="502">
        <f t="shared" si="6"/>
        <v>0</v>
      </c>
      <c r="K69" s="503"/>
      <c r="L69" s="502">
        <f t="shared" si="7"/>
        <v>0</v>
      </c>
      <c r="M69" s="503"/>
      <c r="N69" s="502">
        <f t="shared" si="12"/>
        <v>0</v>
      </c>
      <c r="O69" s="503"/>
      <c r="Q69" s="6" t="b">
        <f t="shared" si="13"/>
        <v>1</v>
      </c>
      <c r="S69" s="6" t="b">
        <f t="shared" si="14"/>
        <v>1</v>
      </c>
      <c r="T69" s="6">
        <f t="shared" si="9"/>
        <v>1</v>
      </c>
    </row>
    <row r="70" spans="2:20" ht="20.149999999999999" customHeight="1" x14ac:dyDescent="0.35">
      <c r="B70" s="187">
        <v>51</v>
      </c>
      <c r="C70" s="187">
        <f t="shared" si="4"/>
        <v>80</v>
      </c>
      <c r="D70" s="502">
        <f t="shared" si="5"/>
        <v>0</v>
      </c>
      <c r="E70" s="503"/>
      <c r="F70" s="502">
        <f t="shared" si="10"/>
        <v>0</v>
      </c>
      <c r="G70" s="503"/>
      <c r="H70" s="502">
        <f t="shared" si="11"/>
        <v>0</v>
      </c>
      <c r="I70" s="503"/>
      <c r="J70" s="502">
        <f t="shared" si="6"/>
        <v>0</v>
      </c>
      <c r="K70" s="503"/>
      <c r="L70" s="502">
        <f t="shared" si="7"/>
        <v>0</v>
      </c>
      <c r="M70" s="503"/>
      <c r="N70" s="502">
        <f t="shared" si="12"/>
        <v>0</v>
      </c>
      <c r="O70" s="503"/>
      <c r="Q70" s="6" t="b">
        <f t="shared" si="13"/>
        <v>1</v>
      </c>
      <c r="S70" s="6" t="b">
        <f t="shared" si="14"/>
        <v>1</v>
      </c>
      <c r="T70" s="6">
        <f t="shared" si="9"/>
        <v>0</v>
      </c>
    </row>
    <row r="71" spans="2:20" ht="20.149999999999999" customHeight="1" x14ac:dyDescent="0.35">
      <c r="B71" s="187">
        <v>52</v>
      </c>
      <c r="C71" s="187">
        <f t="shared" si="4"/>
        <v>81</v>
      </c>
      <c r="D71" s="502">
        <f t="shared" si="5"/>
        <v>0</v>
      </c>
      <c r="E71" s="503"/>
      <c r="F71" s="502">
        <f t="shared" si="10"/>
        <v>0</v>
      </c>
      <c r="G71" s="503"/>
      <c r="H71" s="502">
        <f t="shared" si="11"/>
        <v>0</v>
      </c>
      <c r="I71" s="503"/>
      <c r="J71" s="502">
        <f t="shared" si="6"/>
        <v>0</v>
      </c>
      <c r="K71" s="503"/>
      <c r="L71" s="502">
        <f t="shared" si="7"/>
        <v>0</v>
      </c>
      <c r="M71" s="503"/>
      <c r="N71" s="502">
        <f t="shared" si="12"/>
        <v>0</v>
      </c>
      <c r="O71" s="503"/>
      <c r="Q71" s="6" t="b">
        <f t="shared" si="13"/>
        <v>1</v>
      </c>
      <c r="S71" s="6" t="b">
        <f t="shared" si="14"/>
        <v>1</v>
      </c>
      <c r="T71" s="6">
        <f t="shared" si="9"/>
        <v>1</v>
      </c>
    </row>
    <row r="72" spans="2:20" ht="20.149999999999999" customHeight="1" x14ac:dyDescent="0.35">
      <c r="B72" s="187">
        <v>53</v>
      </c>
      <c r="C72" s="187">
        <f t="shared" si="4"/>
        <v>82</v>
      </c>
      <c r="D72" s="502">
        <f t="shared" si="5"/>
        <v>0</v>
      </c>
      <c r="E72" s="503"/>
      <c r="F72" s="502">
        <f t="shared" si="10"/>
        <v>0</v>
      </c>
      <c r="G72" s="503"/>
      <c r="H72" s="502">
        <f t="shared" si="11"/>
        <v>0</v>
      </c>
      <c r="I72" s="503"/>
      <c r="J72" s="502">
        <f t="shared" si="6"/>
        <v>0</v>
      </c>
      <c r="K72" s="503"/>
      <c r="L72" s="502">
        <f t="shared" si="7"/>
        <v>0</v>
      </c>
      <c r="M72" s="503"/>
      <c r="N72" s="502">
        <f t="shared" si="12"/>
        <v>0</v>
      </c>
      <c r="O72" s="503"/>
      <c r="Q72" s="6" t="b">
        <f t="shared" si="13"/>
        <v>1</v>
      </c>
      <c r="S72" s="6" t="b">
        <f t="shared" si="14"/>
        <v>1</v>
      </c>
      <c r="T72" s="6">
        <f t="shared" si="9"/>
        <v>0</v>
      </c>
    </row>
    <row r="73" spans="2:20" ht="20.149999999999999" customHeight="1" x14ac:dyDescent="0.35">
      <c r="B73" s="187">
        <v>54</v>
      </c>
      <c r="C73" s="187">
        <f t="shared" si="4"/>
        <v>83</v>
      </c>
      <c r="D73" s="502">
        <f t="shared" si="5"/>
        <v>0</v>
      </c>
      <c r="E73" s="503"/>
      <c r="F73" s="502">
        <f t="shared" si="10"/>
        <v>0</v>
      </c>
      <c r="G73" s="503"/>
      <c r="H73" s="502">
        <f t="shared" si="11"/>
        <v>0</v>
      </c>
      <c r="I73" s="503"/>
      <c r="J73" s="502">
        <f t="shared" si="6"/>
        <v>0</v>
      </c>
      <c r="K73" s="503"/>
      <c r="L73" s="502">
        <f t="shared" si="7"/>
        <v>0</v>
      </c>
      <c r="M73" s="503"/>
      <c r="N73" s="502">
        <f t="shared" si="12"/>
        <v>0</v>
      </c>
      <c r="O73" s="503"/>
      <c r="Q73" s="6" t="b">
        <f t="shared" si="13"/>
        <v>1</v>
      </c>
      <c r="S73" s="6" t="b">
        <f t="shared" si="14"/>
        <v>1</v>
      </c>
      <c r="T73" s="6">
        <f t="shared" si="9"/>
        <v>1</v>
      </c>
    </row>
    <row r="74" spans="2:20" ht="20.149999999999999" customHeight="1" x14ac:dyDescent="0.35">
      <c r="B74" s="187">
        <v>55</v>
      </c>
      <c r="C74" s="187">
        <f t="shared" si="4"/>
        <v>84</v>
      </c>
      <c r="D74" s="502">
        <f t="shared" si="5"/>
        <v>0</v>
      </c>
      <c r="E74" s="503"/>
      <c r="F74" s="502">
        <f t="shared" si="10"/>
        <v>0</v>
      </c>
      <c r="G74" s="503"/>
      <c r="H74" s="502">
        <f t="shared" si="11"/>
        <v>0</v>
      </c>
      <c r="I74" s="503"/>
      <c r="J74" s="502">
        <f t="shared" si="6"/>
        <v>0</v>
      </c>
      <c r="K74" s="503"/>
      <c r="L74" s="502">
        <f t="shared" si="7"/>
        <v>0</v>
      </c>
      <c r="M74" s="503"/>
      <c r="N74" s="502">
        <f t="shared" si="12"/>
        <v>0</v>
      </c>
      <c r="O74" s="503"/>
      <c r="Q74" s="6" t="b">
        <f t="shared" si="13"/>
        <v>1</v>
      </c>
      <c r="S74" s="6" t="b">
        <f t="shared" si="14"/>
        <v>1</v>
      </c>
      <c r="T74" s="6">
        <f t="shared" si="9"/>
        <v>0</v>
      </c>
    </row>
    <row r="75" spans="2:20" ht="20.149999999999999" customHeight="1" x14ac:dyDescent="0.35">
      <c r="B75" s="187">
        <v>56</v>
      </c>
      <c r="C75" s="187">
        <f t="shared" si="4"/>
        <v>85</v>
      </c>
      <c r="D75" s="502">
        <f t="shared" si="5"/>
        <v>0</v>
      </c>
      <c r="E75" s="503"/>
      <c r="F75" s="502">
        <f t="shared" si="10"/>
        <v>0</v>
      </c>
      <c r="G75" s="503"/>
      <c r="H75" s="502">
        <f t="shared" si="11"/>
        <v>0</v>
      </c>
      <c r="I75" s="503"/>
      <c r="J75" s="502">
        <f t="shared" si="6"/>
        <v>0</v>
      </c>
      <c r="K75" s="503"/>
      <c r="L75" s="502">
        <f t="shared" si="7"/>
        <v>0</v>
      </c>
      <c r="M75" s="503"/>
      <c r="N75" s="502">
        <f t="shared" si="12"/>
        <v>0</v>
      </c>
      <c r="O75" s="503"/>
      <c r="Q75" s="6" t="b">
        <f t="shared" si="13"/>
        <v>1</v>
      </c>
      <c r="S75" s="6" t="b">
        <f t="shared" si="14"/>
        <v>1</v>
      </c>
      <c r="T75" s="6">
        <f t="shared" si="9"/>
        <v>1</v>
      </c>
    </row>
    <row r="76" spans="2:20" ht="20.149999999999999" customHeight="1" x14ac:dyDescent="0.35">
      <c r="B76" s="187">
        <v>57</v>
      </c>
      <c r="C76" s="187">
        <f t="shared" si="4"/>
        <v>86</v>
      </c>
      <c r="D76" s="502">
        <f t="shared" si="5"/>
        <v>0</v>
      </c>
      <c r="E76" s="503"/>
      <c r="F76" s="502">
        <f t="shared" si="10"/>
        <v>0</v>
      </c>
      <c r="G76" s="503"/>
      <c r="H76" s="502">
        <f t="shared" si="11"/>
        <v>0</v>
      </c>
      <c r="I76" s="503"/>
      <c r="J76" s="502">
        <f t="shared" si="6"/>
        <v>0</v>
      </c>
      <c r="K76" s="503"/>
      <c r="L76" s="502">
        <f t="shared" si="7"/>
        <v>0</v>
      </c>
      <c r="M76" s="503"/>
      <c r="N76" s="502">
        <f t="shared" si="12"/>
        <v>0</v>
      </c>
      <c r="O76" s="503"/>
      <c r="Q76" s="6" t="b">
        <f t="shared" si="13"/>
        <v>1</v>
      </c>
      <c r="S76" s="6" t="b">
        <f t="shared" si="14"/>
        <v>1</v>
      </c>
      <c r="T76" s="6">
        <f t="shared" si="9"/>
        <v>0</v>
      </c>
    </row>
    <row r="77" spans="2:20" ht="20.149999999999999" customHeight="1" x14ac:dyDescent="0.35">
      <c r="B77" s="187">
        <v>58</v>
      </c>
      <c r="C77" s="187">
        <f t="shared" si="4"/>
        <v>87</v>
      </c>
      <c r="D77" s="502">
        <f t="shared" si="5"/>
        <v>0</v>
      </c>
      <c r="E77" s="503"/>
      <c r="F77" s="502">
        <f t="shared" si="10"/>
        <v>0</v>
      </c>
      <c r="G77" s="503"/>
      <c r="H77" s="502">
        <f t="shared" si="11"/>
        <v>0</v>
      </c>
      <c r="I77" s="503"/>
      <c r="J77" s="502">
        <f t="shared" si="6"/>
        <v>0</v>
      </c>
      <c r="K77" s="503"/>
      <c r="L77" s="502">
        <f t="shared" si="7"/>
        <v>0</v>
      </c>
      <c r="M77" s="503"/>
      <c r="N77" s="502">
        <f t="shared" si="12"/>
        <v>0</v>
      </c>
      <c r="O77" s="503"/>
      <c r="Q77" s="6" t="b">
        <f t="shared" si="13"/>
        <v>1</v>
      </c>
      <c r="S77" s="6" t="b">
        <f t="shared" si="14"/>
        <v>1</v>
      </c>
      <c r="T77" s="6">
        <f t="shared" si="9"/>
        <v>1</v>
      </c>
    </row>
    <row r="78" spans="2:20" ht="20.149999999999999" customHeight="1" x14ac:dyDescent="0.35">
      <c r="B78" s="187">
        <v>59</v>
      </c>
      <c r="C78" s="187">
        <f t="shared" si="4"/>
        <v>88</v>
      </c>
      <c r="D78" s="502">
        <f t="shared" si="5"/>
        <v>0</v>
      </c>
      <c r="E78" s="503"/>
      <c r="F78" s="502">
        <f t="shared" si="10"/>
        <v>0</v>
      </c>
      <c r="G78" s="503"/>
      <c r="H78" s="502">
        <f t="shared" si="11"/>
        <v>0</v>
      </c>
      <c r="I78" s="503"/>
      <c r="J78" s="502">
        <f t="shared" si="6"/>
        <v>0</v>
      </c>
      <c r="K78" s="503"/>
      <c r="L78" s="502">
        <f t="shared" si="7"/>
        <v>0</v>
      </c>
      <c r="M78" s="503"/>
      <c r="N78" s="502">
        <f t="shared" si="12"/>
        <v>0</v>
      </c>
      <c r="O78" s="503"/>
      <c r="Q78" s="6" t="b">
        <f t="shared" si="13"/>
        <v>1</v>
      </c>
      <c r="S78" s="6" t="b">
        <f t="shared" si="14"/>
        <v>1</v>
      </c>
      <c r="T78" s="6">
        <f t="shared" si="9"/>
        <v>0</v>
      </c>
    </row>
    <row r="79" spans="2:20" ht="20.149999999999999" customHeight="1" x14ac:dyDescent="0.35">
      <c r="B79" s="187">
        <v>60</v>
      </c>
      <c r="C79" s="187">
        <f t="shared" si="4"/>
        <v>89</v>
      </c>
      <c r="D79" s="502">
        <f t="shared" si="5"/>
        <v>0</v>
      </c>
      <c r="E79" s="503"/>
      <c r="F79" s="502">
        <f t="shared" si="10"/>
        <v>0</v>
      </c>
      <c r="G79" s="503"/>
      <c r="H79" s="502">
        <f t="shared" si="11"/>
        <v>0</v>
      </c>
      <c r="I79" s="503"/>
      <c r="J79" s="502">
        <f t="shared" si="6"/>
        <v>0</v>
      </c>
      <c r="K79" s="503"/>
      <c r="L79" s="502">
        <f t="shared" si="7"/>
        <v>0</v>
      </c>
      <c r="M79" s="503"/>
      <c r="N79" s="502">
        <f t="shared" si="12"/>
        <v>0</v>
      </c>
      <c r="O79" s="503"/>
      <c r="Q79" s="6" t="b">
        <f t="shared" si="13"/>
        <v>1</v>
      </c>
      <c r="S79" s="6" t="b">
        <f t="shared" si="14"/>
        <v>1</v>
      </c>
      <c r="T79" s="6">
        <f t="shared" si="9"/>
        <v>1</v>
      </c>
    </row>
    <row r="80" spans="2:20" ht="20.149999999999999" customHeight="1" x14ac:dyDescent="0.35">
      <c r="B80" s="187">
        <v>61</v>
      </c>
      <c r="C80" s="187">
        <f t="shared" si="4"/>
        <v>90</v>
      </c>
      <c r="D80" s="502">
        <f t="shared" si="5"/>
        <v>0</v>
      </c>
      <c r="E80" s="503"/>
      <c r="F80" s="502">
        <f t="shared" si="10"/>
        <v>0</v>
      </c>
      <c r="G80" s="503"/>
      <c r="H80" s="502">
        <f t="shared" si="11"/>
        <v>0</v>
      </c>
      <c r="I80" s="503"/>
      <c r="J80" s="502">
        <f t="shared" si="6"/>
        <v>0</v>
      </c>
      <c r="K80" s="503"/>
      <c r="L80" s="502">
        <f t="shared" si="7"/>
        <v>0</v>
      </c>
      <c r="M80" s="503"/>
      <c r="N80" s="502">
        <f t="shared" si="12"/>
        <v>0</v>
      </c>
      <c r="O80" s="503"/>
      <c r="Q80" s="6" t="b">
        <f t="shared" si="13"/>
        <v>1</v>
      </c>
      <c r="S80" s="6" t="b">
        <f t="shared" si="14"/>
        <v>1</v>
      </c>
      <c r="T80" s="6">
        <f t="shared" si="9"/>
        <v>0</v>
      </c>
    </row>
    <row r="81" spans="2:20" ht="20.149999999999999" customHeight="1" x14ac:dyDescent="0.35">
      <c r="B81" s="187">
        <v>62</v>
      </c>
      <c r="C81" s="187">
        <f t="shared" si="4"/>
        <v>91</v>
      </c>
      <c r="D81" s="502">
        <f t="shared" si="5"/>
        <v>0</v>
      </c>
      <c r="E81" s="503"/>
      <c r="F81" s="502">
        <f t="shared" si="10"/>
        <v>0</v>
      </c>
      <c r="G81" s="503"/>
      <c r="H81" s="502">
        <f t="shared" si="11"/>
        <v>0</v>
      </c>
      <c r="I81" s="503"/>
      <c r="J81" s="502">
        <f t="shared" si="6"/>
        <v>0</v>
      </c>
      <c r="K81" s="503"/>
      <c r="L81" s="502">
        <f t="shared" si="7"/>
        <v>0</v>
      </c>
      <c r="M81" s="503"/>
      <c r="N81" s="502">
        <f t="shared" si="12"/>
        <v>0</v>
      </c>
      <c r="O81" s="503"/>
      <c r="Q81" s="6" t="b">
        <f t="shared" si="13"/>
        <v>1</v>
      </c>
      <c r="S81" s="6" t="b">
        <f t="shared" si="14"/>
        <v>1</v>
      </c>
      <c r="T81" s="6">
        <f t="shared" si="9"/>
        <v>1</v>
      </c>
    </row>
    <row r="82" spans="2:20" ht="20.149999999999999" customHeight="1" x14ac:dyDescent="0.35">
      <c r="B82" s="187">
        <v>63</v>
      </c>
      <c r="C82" s="187">
        <f t="shared" si="4"/>
        <v>92</v>
      </c>
      <c r="D82" s="502">
        <f t="shared" si="5"/>
        <v>0</v>
      </c>
      <c r="E82" s="503"/>
      <c r="F82" s="502">
        <f t="shared" si="10"/>
        <v>0</v>
      </c>
      <c r="G82" s="503"/>
      <c r="H82" s="502">
        <f t="shared" si="11"/>
        <v>0</v>
      </c>
      <c r="I82" s="503"/>
      <c r="J82" s="502">
        <f t="shared" si="6"/>
        <v>0</v>
      </c>
      <c r="K82" s="503"/>
      <c r="L82" s="502">
        <f t="shared" si="7"/>
        <v>0</v>
      </c>
      <c r="M82" s="503"/>
      <c r="N82" s="502">
        <f t="shared" si="12"/>
        <v>0</v>
      </c>
      <c r="O82" s="503"/>
      <c r="Q82" s="6" t="b">
        <f t="shared" si="13"/>
        <v>1</v>
      </c>
      <c r="S82" s="6" t="b">
        <f t="shared" si="14"/>
        <v>1</v>
      </c>
      <c r="T82" s="6">
        <f t="shared" si="9"/>
        <v>0</v>
      </c>
    </row>
    <row r="83" spans="2:20" ht="20.149999999999999" customHeight="1" x14ac:dyDescent="0.35">
      <c r="B83" s="187">
        <v>64</v>
      </c>
      <c r="C83" s="187">
        <f t="shared" si="4"/>
        <v>93</v>
      </c>
      <c r="D83" s="502">
        <f t="shared" si="5"/>
        <v>0</v>
      </c>
      <c r="E83" s="503"/>
      <c r="F83" s="502">
        <f t="shared" si="10"/>
        <v>0</v>
      </c>
      <c r="G83" s="503"/>
      <c r="H83" s="502">
        <f t="shared" si="11"/>
        <v>0</v>
      </c>
      <c r="I83" s="503"/>
      <c r="J83" s="502">
        <f t="shared" si="6"/>
        <v>0</v>
      </c>
      <c r="K83" s="503"/>
      <c r="L83" s="502">
        <f t="shared" si="7"/>
        <v>0</v>
      </c>
      <c r="M83" s="503"/>
      <c r="N83" s="502">
        <f t="shared" si="12"/>
        <v>0</v>
      </c>
      <c r="O83" s="503"/>
      <c r="Q83" s="6" t="b">
        <f t="shared" si="13"/>
        <v>1</v>
      </c>
      <c r="S83" s="6" t="b">
        <f t="shared" si="14"/>
        <v>1</v>
      </c>
      <c r="T83" s="6">
        <f t="shared" si="9"/>
        <v>1</v>
      </c>
    </row>
    <row r="84" spans="2:20" ht="20.149999999999999" customHeight="1" x14ac:dyDescent="0.35">
      <c r="B84" s="187">
        <v>65</v>
      </c>
      <c r="C84" s="187">
        <f t="shared" si="4"/>
        <v>94</v>
      </c>
      <c r="D84" s="502">
        <f t="shared" si="5"/>
        <v>0</v>
      </c>
      <c r="E84" s="503"/>
      <c r="F84" s="502">
        <f t="shared" si="10"/>
        <v>0</v>
      </c>
      <c r="G84" s="503"/>
      <c r="H84" s="502">
        <f t="shared" si="11"/>
        <v>0</v>
      </c>
      <c r="I84" s="503"/>
      <c r="J84" s="502">
        <f t="shared" si="6"/>
        <v>0</v>
      </c>
      <c r="K84" s="503"/>
      <c r="L84" s="502">
        <f t="shared" si="7"/>
        <v>0</v>
      </c>
      <c r="M84" s="503"/>
      <c r="N84" s="502">
        <f t="shared" si="12"/>
        <v>0</v>
      </c>
      <c r="O84" s="503"/>
      <c r="Q84" s="6" t="b">
        <f t="shared" si="13"/>
        <v>1</v>
      </c>
      <c r="S84" s="6" t="b">
        <f t="shared" si="14"/>
        <v>1</v>
      </c>
      <c r="T84" s="6">
        <f t="shared" si="9"/>
        <v>0</v>
      </c>
    </row>
    <row r="85" spans="2:20" ht="20.149999999999999" customHeight="1" x14ac:dyDescent="0.35">
      <c r="B85" s="187">
        <v>66</v>
      </c>
      <c r="C85" s="187">
        <f t="shared" si="4"/>
        <v>95</v>
      </c>
      <c r="D85" s="502">
        <f t="shared" si="5"/>
        <v>0</v>
      </c>
      <c r="E85" s="503"/>
      <c r="F85" s="502">
        <f t="shared" ref="F85:F119" si="15">IF(B85&gt;$H$7,0, F84*(1+$H$6))</f>
        <v>0</v>
      </c>
      <c r="G85" s="503"/>
      <c r="H85" s="502">
        <f t="shared" ref="H85:H119" si="16">IF(OR(L84=0,B84&lt;($H$7+$H$8)),0,IF(H84=0,FV($H$12,B85,,-$H$11),H84*(1+$H$12)))</f>
        <v>0</v>
      </c>
      <c r="I85" s="503"/>
      <c r="J85" s="502">
        <f t="shared" si="6"/>
        <v>0</v>
      </c>
      <c r="K85" s="503"/>
      <c r="L85" s="502">
        <f t="shared" si="7"/>
        <v>0</v>
      </c>
      <c r="M85" s="503"/>
      <c r="N85" s="502">
        <f t="shared" ref="N85:N119" si="17">IF(B84&gt;=MAX($H$7,$H$8), FV((1+$H$13)^(1/12)-1,12,-F85,-L85,1), FV((1+$H$10)^(1/12)-1,12,-F85,-L85,1))</f>
        <v>0</v>
      </c>
      <c r="O85" s="503"/>
      <c r="Q85" s="6" t="b">
        <f t="shared" ref="Q85:Q119" si="18">L85=0</f>
        <v>1</v>
      </c>
      <c r="S85" s="6" t="b">
        <f t="shared" si="14"/>
        <v>1</v>
      </c>
      <c r="T85" s="6">
        <f t="shared" si="9"/>
        <v>1</v>
      </c>
    </row>
    <row r="86" spans="2:20" ht="20.149999999999999" customHeight="1" x14ac:dyDescent="0.35">
      <c r="B86" s="187">
        <v>67</v>
      </c>
      <c r="C86" s="187">
        <f t="shared" ref="C86:C119" si="19">C85+1</f>
        <v>96</v>
      </c>
      <c r="D86" s="502">
        <f t="shared" ref="D86:D119" si="20">N85</f>
        <v>0</v>
      </c>
      <c r="E86" s="503"/>
      <c r="F86" s="502">
        <f t="shared" si="15"/>
        <v>0</v>
      </c>
      <c r="G86" s="503"/>
      <c r="H86" s="502">
        <f t="shared" si="16"/>
        <v>0</v>
      </c>
      <c r="I86" s="503"/>
      <c r="J86" s="502">
        <f t="shared" ref="J86:J119" si="21">H86*12</f>
        <v>0</v>
      </c>
      <c r="K86" s="503"/>
      <c r="L86" s="502">
        <f t="shared" ref="L86:L119" si="22">IF((D86-(H86*12))&lt;0,0,(D86-(H86*12)))</f>
        <v>0</v>
      </c>
      <c r="M86" s="503"/>
      <c r="N86" s="502">
        <f t="shared" si="17"/>
        <v>0</v>
      </c>
      <c r="O86" s="503"/>
      <c r="Q86" s="6" t="b">
        <f t="shared" si="18"/>
        <v>1</v>
      </c>
      <c r="S86" s="6" t="b">
        <f t="shared" ref="S86:S119" si="23">L85=0</f>
        <v>1</v>
      </c>
      <c r="T86" s="6">
        <f t="shared" ref="T86:T119" si="24">MOD(ROW(),2)</f>
        <v>0</v>
      </c>
    </row>
    <row r="87" spans="2:20" ht="20.149999999999999" customHeight="1" x14ac:dyDescent="0.35">
      <c r="B87" s="187">
        <v>68</v>
      </c>
      <c r="C87" s="187">
        <f t="shared" si="19"/>
        <v>97</v>
      </c>
      <c r="D87" s="502">
        <f t="shared" si="20"/>
        <v>0</v>
      </c>
      <c r="E87" s="503"/>
      <c r="F87" s="502">
        <f t="shared" si="15"/>
        <v>0</v>
      </c>
      <c r="G87" s="503"/>
      <c r="H87" s="502">
        <f t="shared" si="16"/>
        <v>0</v>
      </c>
      <c r="I87" s="503"/>
      <c r="J87" s="502">
        <f t="shared" si="21"/>
        <v>0</v>
      </c>
      <c r="K87" s="503"/>
      <c r="L87" s="502">
        <f t="shared" si="22"/>
        <v>0</v>
      </c>
      <c r="M87" s="503"/>
      <c r="N87" s="502">
        <f t="shared" si="17"/>
        <v>0</v>
      </c>
      <c r="O87" s="503"/>
      <c r="Q87" s="6" t="b">
        <f t="shared" si="18"/>
        <v>1</v>
      </c>
      <c r="S87" s="6" t="b">
        <f t="shared" si="23"/>
        <v>1</v>
      </c>
      <c r="T87" s="6">
        <f t="shared" si="24"/>
        <v>1</v>
      </c>
    </row>
    <row r="88" spans="2:20" ht="20.149999999999999" customHeight="1" x14ac:dyDescent="0.35">
      <c r="B88" s="187">
        <v>69</v>
      </c>
      <c r="C88" s="187">
        <f t="shared" si="19"/>
        <v>98</v>
      </c>
      <c r="D88" s="502">
        <f t="shared" si="20"/>
        <v>0</v>
      </c>
      <c r="E88" s="503"/>
      <c r="F88" s="502">
        <f t="shared" si="15"/>
        <v>0</v>
      </c>
      <c r="G88" s="503"/>
      <c r="H88" s="502">
        <f t="shared" si="16"/>
        <v>0</v>
      </c>
      <c r="I88" s="503"/>
      <c r="J88" s="502">
        <f t="shared" si="21"/>
        <v>0</v>
      </c>
      <c r="K88" s="503"/>
      <c r="L88" s="502">
        <f t="shared" si="22"/>
        <v>0</v>
      </c>
      <c r="M88" s="503"/>
      <c r="N88" s="502">
        <f t="shared" si="17"/>
        <v>0</v>
      </c>
      <c r="O88" s="503"/>
      <c r="Q88" s="6" t="b">
        <f t="shared" si="18"/>
        <v>1</v>
      </c>
      <c r="S88" s="6" t="b">
        <f t="shared" si="23"/>
        <v>1</v>
      </c>
      <c r="T88" s="6">
        <f t="shared" si="24"/>
        <v>0</v>
      </c>
    </row>
    <row r="89" spans="2:20" ht="20.149999999999999" customHeight="1" x14ac:dyDescent="0.35">
      <c r="B89" s="187">
        <v>70</v>
      </c>
      <c r="C89" s="187">
        <f t="shared" si="19"/>
        <v>99</v>
      </c>
      <c r="D89" s="502">
        <f t="shared" si="20"/>
        <v>0</v>
      </c>
      <c r="E89" s="503"/>
      <c r="F89" s="502">
        <f t="shared" si="15"/>
        <v>0</v>
      </c>
      <c r="G89" s="503"/>
      <c r="H89" s="502">
        <f t="shared" si="16"/>
        <v>0</v>
      </c>
      <c r="I89" s="503"/>
      <c r="J89" s="502">
        <f t="shared" si="21"/>
        <v>0</v>
      </c>
      <c r="K89" s="503"/>
      <c r="L89" s="502">
        <f t="shared" si="22"/>
        <v>0</v>
      </c>
      <c r="M89" s="503"/>
      <c r="N89" s="502">
        <f t="shared" si="17"/>
        <v>0</v>
      </c>
      <c r="O89" s="503"/>
      <c r="Q89" s="6" t="b">
        <f t="shared" si="18"/>
        <v>1</v>
      </c>
      <c r="S89" s="6" t="b">
        <f t="shared" si="23"/>
        <v>1</v>
      </c>
      <c r="T89" s="6">
        <f t="shared" si="24"/>
        <v>1</v>
      </c>
    </row>
    <row r="90" spans="2:20" ht="20.149999999999999" customHeight="1" x14ac:dyDescent="0.35">
      <c r="B90" s="187">
        <v>71</v>
      </c>
      <c r="C90" s="187">
        <f t="shared" si="19"/>
        <v>100</v>
      </c>
      <c r="D90" s="502">
        <f t="shared" si="20"/>
        <v>0</v>
      </c>
      <c r="E90" s="503"/>
      <c r="F90" s="502">
        <f t="shared" si="15"/>
        <v>0</v>
      </c>
      <c r="G90" s="503"/>
      <c r="H90" s="502">
        <f t="shared" si="16"/>
        <v>0</v>
      </c>
      <c r="I90" s="503"/>
      <c r="J90" s="502">
        <f t="shared" si="21"/>
        <v>0</v>
      </c>
      <c r="K90" s="503"/>
      <c r="L90" s="502">
        <f t="shared" si="22"/>
        <v>0</v>
      </c>
      <c r="M90" s="503"/>
      <c r="N90" s="502">
        <f t="shared" si="17"/>
        <v>0</v>
      </c>
      <c r="O90" s="503"/>
      <c r="Q90" s="6" t="b">
        <f t="shared" si="18"/>
        <v>1</v>
      </c>
      <c r="S90" s="6" t="b">
        <f t="shared" si="23"/>
        <v>1</v>
      </c>
      <c r="T90" s="6">
        <f t="shared" si="24"/>
        <v>0</v>
      </c>
    </row>
    <row r="91" spans="2:20" ht="20.149999999999999" customHeight="1" x14ac:dyDescent="0.35">
      <c r="B91" s="187">
        <v>72</v>
      </c>
      <c r="C91" s="187">
        <f t="shared" si="19"/>
        <v>101</v>
      </c>
      <c r="D91" s="502">
        <f t="shared" si="20"/>
        <v>0</v>
      </c>
      <c r="E91" s="503"/>
      <c r="F91" s="502">
        <f t="shared" si="15"/>
        <v>0</v>
      </c>
      <c r="G91" s="503"/>
      <c r="H91" s="502">
        <f t="shared" si="16"/>
        <v>0</v>
      </c>
      <c r="I91" s="503"/>
      <c r="J91" s="502">
        <f t="shared" si="21"/>
        <v>0</v>
      </c>
      <c r="K91" s="503"/>
      <c r="L91" s="502">
        <f t="shared" si="22"/>
        <v>0</v>
      </c>
      <c r="M91" s="503"/>
      <c r="N91" s="502">
        <f t="shared" si="17"/>
        <v>0</v>
      </c>
      <c r="O91" s="503"/>
      <c r="Q91" s="6" t="b">
        <f t="shared" si="18"/>
        <v>1</v>
      </c>
      <c r="S91" s="6" t="b">
        <f t="shared" si="23"/>
        <v>1</v>
      </c>
      <c r="T91" s="6">
        <f t="shared" si="24"/>
        <v>1</v>
      </c>
    </row>
    <row r="92" spans="2:20" ht="20.149999999999999" customHeight="1" x14ac:dyDescent="0.35">
      <c r="B92" s="187">
        <v>73</v>
      </c>
      <c r="C92" s="187">
        <f t="shared" si="19"/>
        <v>102</v>
      </c>
      <c r="D92" s="502">
        <f t="shared" si="20"/>
        <v>0</v>
      </c>
      <c r="E92" s="503"/>
      <c r="F92" s="502">
        <f t="shared" si="15"/>
        <v>0</v>
      </c>
      <c r="G92" s="503"/>
      <c r="H92" s="502">
        <f t="shared" si="16"/>
        <v>0</v>
      </c>
      <c r="I92" s="503"/>
      <c r="J92" s="502">
        <f t="shared" si="21"/>
        <v>0</v>
      </c>
      <c r="K92" s="503"/>
      <c r="L92" s="502">
        <f t="shared" si="22"/>
        <v>0</v>
      </c>
      <c r="M92" s="503"/>
      <c r="N92" s="502">
        <f t="shared" si="17"/>
        <v>0</v>
      </c>
      <c r="O92" s="503"/>
      <c r="Q92" s="6" t="b">
        <f t="shared" si="18"/>
        <v>1</v>
      </c>
      <c r="S92" s="6" t="b">
        <f t="shared" si="23"/>
        <v>1</v>
      </c>
      <c r="T92" s="6">
        <f t="shared" si="24"/>
        <v>0</v>
      </c>
    </row>
    <row r="93" spans="2:20" ht="20.149999999999999" customHeight="1" x14ac:dyDescent="0.35">
      <c r="B93" s="187">
        <v>74</v>
      </c>
      <c r="C93" s="187">
        <f t="shared" si="19"/>
        <v>103</v>
      </c>
      <c r="D93" s="502">
        <f t="shared" si="20"/>
        <v>0</v>
      </c>
      <c r="E93" s="503"/>
      <c r="F93" s="502">
        <f t="shared" si="15"/>
        <v>0</v>
      </c>
      <c r="G93" s="503"/>
      <c r="H93" s="502">
        <f t="shared" si="16"/>
        <v>0</v>
      </c>
      <c r="I93" s="503"/>
      <c r="J93" s="502">
        <f t="shared" si="21"/>
        <v>0</v>
      </c>
      <c r="K93" s="503"/>
      <c r="L93" s="502">
        <f t="shared" si="22"/>
        <v>0</v>
      </c>
      <c r="M93" s="503"/>
      <c r="N93" s="502">
        <f t="shared" si="17"/>
        <v>0</v>
      </c>
      <c r="O93" s="503"/>
      <c r="Q93" s="6" t="b">
        <f t="shared" si="18"/>
        <v>1</v>
      </c>
      <c r="S93" s="6" t="b">
        <f t="shared" si="23"/>
        <v>1</v>
      </c>
      <c r="T93" s="6">
        <f t="shared" si="24"/>
        <v>1</v>
      </c>
    </row>
    <row r="94" spans="2:20" ht="20.149999999999999" customHeight="1" x14ac:dyDescent="0.35">
      <c r="B94" s="187">
        <v>75</v>
      </c>
      <c r="C94" s="187">
        <f t="shared" si="19"/>
        <v>104</v>
      </c>
      <c r="D94" s="502">
        <f t="shared" si="20"/>
        <v>0</v>
      </c>
      <c r="E94" s="503"/>
      <c r="F94" s="502">
        <f t="shared" si="15"/>
        <v>0</v>
      </c>
      <c r="G94" s="503"/>
      <c r="H94" s="502">
        <f t="shared" si="16"/>
        <v>0</v>
      </c>
      <c r="I94" s="503"/>
      <c r="J94" s="502">
        <f t="shared" si="21"/>
        <v>0</v>
      </c>
      <c r="K94" s="503"/>
      <c r="L94" s="502">
        <f t="shared" si="22"/>
        <v>0</v>
      </c>
      <c r="M94" s="503"/>
      <c r="N94" s="502">
        <f t="shared" si="17"/>
        <v>0</v>
      </c>
      <c r="O94" s="503"/>
      <c r="Q94" s="6" t="b">
        <f t="shared" si="18"/>
        <v>1</v>
      </c>
      <c r="S94" s="6" t="b">
        <f t="shared" si="23"/>
        <v>1</v>
      </c>
      <c r="T94" s="6">
        <f t="shared" si="24"/>
        <v>0</v>
      </c>
    </row>
    <row r="95" spans="2:20" ht="20.149999999999999" customHeight="1" x14ac:dyDescent="0.35">
      <c r="B95" s="187">
        <v>76</v>
      </c>
      <c r="C95" s="187">
        <f t="shared" si="19"/>
        <v>105</v>
      </c>
      <c r="D95" s="502">
        <f t="shared" si="20"/>
        <v>0</v>
      </c>
      <c r="E95" s="503"/>
      <c r="F95" s="502">
        <f t="shared" si="15"/>
        <v>0</v>
      </c>
      <c r="G95" s="503"/>
      <c r="H95" s="502">
        <f t="shared" si="16"/>
        <v>0</v>
      </c>
      <c r="I95" s="503"/>
      <c r="J95" s="502">
        <f t="shared" si="21"/>
        <v>0</v>
      </c>
      <c r="K95" s="503"/>
      <c r="L95" s="502">
        <f t="shared" si="22"/>
        <v>0</v>
      </c>
      <c r="M95" s="503"/>
      <c r="N95" s="502">
        <f t="shared" si="17"/>
        <v>0</v>
      </c>
      <c r="O95" s="503"/>
      <c r="Q95" s="6" t="b">
        <f t="shared" si="18"/>
        <v>1</v>
      </c>
      <c r="S95" s="6" t="b">
        <f t="shared" si="23"/>
        <v>1</v>
      </c>
      <c r="T95" s="6">
        <f t="shared" si="24"/>
        <v>1</v>
      </c>
    </row>
    <row r="96" spans="2:20" ht="20.149999999999999" customHeight="1" x14ac:dyDescent="0.35">
      <c r="B96" s="187">
        <v>77</v>
      </c>
      <c r="C96" s="187">
        <f t="shared" si="19"/>
        <v>106</v>
      </c>
      <c r="D96" s="502">
        <f t="shared" si="20"/>
        <v>0</v>
      </c>
      <c r="E96" s="503"/>
      <c r="F96" s="502">
        <f t="shared" si="15"/>
        <v>0</v>
      </c>
      <c r="G96" s="503"/>
      <c r="H96" s="502">
        <f t="shared" si="16"/>
        <v>0</v>
      </c>
      <c r="I96" s="503"/>
      <c r="J96" s="502">
        <f t="shared" si="21"/>
        <v>0</v>
      </c>
      <c r="K96" s="503"/>
      <c r="L96" s="502">
        <f t="shared" si="22"/>
        <v>0</v>
      </c>
      <c r="M96" s="503"/>
      <c r="N96" s="502">
        <f t="shared" si="17"/>
        <v>0</v>
      </c>
      <c r="O96" s="503"/>
      <c r="Q96" s="6" t="b">
        <f t="shared" si="18"/>
        <v>1</v>
      </c>
      <c r="S96" s="6" t="b">
        <f t="shared" si="23"/>
        <v>1</v>
      </c>
      <c r="T96" s="6">
        <f t="shared" si="24"/>
        <v>0</v>
      </c>
    </row>
    <row r="97" spans="2:20" ht="20.149999999999999" customHeight="1" x14ac:dyDescent="0.35">
      <c r="B97" s="187">
        <v>78</v>
      </c>
      <c r="C97" s="187">
        <f t="shared" si="19"/>
        <v>107</v>
      </c>
      <c r="D97" s="502">
        <f t="shared" si="20"/>
        <v>0</v>
      </c>
      <c r="E97" s="503"/>
      <c r="F97" s="502">
        <f t="shared" si="15"/>
        <v>0</v>
      </c>
      <c r="G97" s="503"/>
      <c r="H97" s="502">
        <f t="shared" si="16"/>
        <v>0</v>
      </c>
      <c r="I97" s="503"/>
      <c r="J97" s="502">
        <f t="shared" si="21"/>
        <v>0</v>
      </c>
      <c r="K97" s="503"/>
      <c r="L97" s="502">
        <f t="shared" si="22"/>
        <v>0</v>
      </c>
      <c r="M97" s="503"/>
      <c r="N97" s="502">
        <f t="shared" si="17"/>
        <v>0</v>
      </c>
      <c r="O97" s="503"/>
      <c r="Q97" s="6" t="b">
        <f t="shared" si="18"/>
        <v>1</v>
      </c>
      <c r="S97" s="6" t="b">
        <f t="shared" si="23"/>
        <v>1</v>
      </c>
      <c r="T97" s="6">
        <f t="shared" si="24"/>
        <v>1</v>
      </c>
    </row>
    <row r="98" spans="2:20" ht="20.149999999999999" customHeight="1" x14ac:dyDescent="0.35">
      <c r="B98" s="187">
        <v>79</v>
      </c>
      <c r="C98" s="187">
        <f t="shared" si="19"/>
        <v>108</v>
      </c>
      <c r="D98" s="502">
        <f t="shared" si="20"/>
        <v>0</v>
      </c>
      <c r="E98" s="503"/>
      <c r="F98" s="502">
        <f t="shared" si="15"/>
        <v>0</v>
      </c>
      <c r="G98" s="503"/>
      <c r="H98" s="502">
        <f t="shared" si="16"/>
        <v>0</v>
      </c>
      <c r="I98" s="503"/>
      <c r="J98" s="502">
        <f t="shared" si="21"/>
        <v>0</v>
      </c>
      <c r="K98" s="503"/>
      <c r="L98" s="502">
        <f t="shared" si="22"/>
        <v>0</v>
      </c>
      <c r="M98" s="503"/>
      <c r="N98" s="502">
        <f t="shared" si="17"/>
        <v>0</v>
      </c>
      <c r="O98" s="503"/>
      <c r="Q98" s="6" t="b">
        <f t="shared" si="18"/>
        <v>1</v>
      </c>
      <c r="S98" s="6" t="b">
        <f t="shared" si="23"/>
        <v>1</v>
      </c>
      <c r="T98" s="6">
        <f t="shared" si="24"/>
        <v>0</v>
      </c>
    </row>
    <row r="99" spans="2:20" ht="20.149999999999999" customHeight="1" x14ac:dyDescent="0.35">
      <c r="B99" s="187">
        <v>80</v>
      </c>
      <c r="C99" s="187">
        <f t="shared" si="19"/>
        <v>109</v>
      </c>
      <c r="D99" s="502">
        <f t="shared" si="20"/>
        <v>0</v>
      </c>
      <c r="E99" s="503"/>
      <c r="F99" s="502">
        <f t="shared" si="15"/>
        <v>0</v>
      </c>
      <c r="G99" s="503"/>
      <c r="H99" s="502">
        <f t="shared" si="16"/>
        <v>0</v>
      </c>
      <c r="I99" s="503"/>
      <c r="J99" s="502">
        <f t="shared" si="21"/>
        <v>0</v>
      </c>
      <c r="K99" s="503"/>
      <c r="L99" s="502">
        <f t="shared" si="22"/>
        <v>0</v>
      </c>
      <c r="M99" s="503"/>
      <c r="N99" s="502">
        <f t="shared" si="17"/>
        <v>0</v>
      </c>
      <c r="O99" s="503"/>
      <c r="Q99" s="6" t="b">
        <f t="shared" si="18"/>
        <v>1</v>
      </c>
      <c r="S99" s="6" t="b">
        <f t="shared" si="23"/>
        <v>1</v>
      </c>
      <c r="T99" s="6">
        <f t="shared" si="24"/>
        <v>1</v>
      </c>
    </row>
    <row r="100" spans="2:20" ht="20.149999999999999" customHeight="1" x14ac:dyDescent="0.35">
      <c r="B100" s="187">
        <v>81</v>
      </c>
      <c r="C100" s="187">
        <f t="shared" si="19"/>
        <v>110</v>
      </c>
      <c r="D100" s="502">
        <f t="shared" si="20"/>
        <v>0</v>
      </c>
      <c r="E100" s="503"/>
      <c r="F100" s="502">
        <f t="shared" si="15"/>
        <v>0</v>
      </c>
      <c r="G100" s="503"/>
      <c r="H100" s="502">
        <f t="shared" si="16"/>
        <v>0</v>
      </c>
      <c r="I100" s="503"/>
      <c r="J100" s="502">
        <f t="shared" si="21"/>
        <v>0</v>
      </c>
      <c r="K100" s="503"/>
      <c r="L100" s="502">
        <f t="shared" si="22"/>
        <v>0</v>
      </c>
      <c r="M100" s="503"/>
      <c r="N100" s="502">
        <f t="shared" si="17"/>
        <v>0</v>
      </c>
      <c r="O100" s="503"/>
      <c r="Q100" s="6" t="b">
        <f t="shared" si="18"/>
        <v>1</v>
      </c>
      <c r="S100" s="6" t="b">
        <f t="shared" si="23"/>
        <v>1</v>
      </c>
      <c r="T100" s="6">
        <f t="shared" si="24"/>
        <v>0</v>
      </c>
    </row>
    <row r="101" spans="2:20" ht="20.149999999999999" customHeight="1" x14ac:dyDescent="0.35">
      <c r="B101" s="187">
        <v>82</v>
      </c>
      <c r="C101" s="187">
        <f t="shared" si="19"/>
        <v>111</v>
      </c>
      <c r="D101" s="502">
        <f t="shared" si="20"/>
        <v>0</v>
      </c>
      <c r="E101" s="503"/>
      <c r="F101" s="502">
        <f t="shared" si="15"/>
        <v>0</v>
      </c>
      <c r="G101" s="503"/>
      <c r="H101" s="502">
        <f t="shared" si="16"/>
        <v>0</v>
      </c>
      <c r="I101" s="503"/>
      <c r="J101" s="502">
        <f t="shared" si="21"/>
        <v>0</v>
      </c>
      <c r="K101" s="503"/>
      <c r="L101" s="502">
        <f t="shared" si="22"/>
        <v>0</v>
      </c>
      <c r="M101" s="503"/>
      <c r="N101" s="502">
        <f t="shared" si="17"/>
        <v>0</v>
      </c>
      <c r="O101" s="503"/>
      <c r="Q101" s="6" t="b">
        <f t="shared" si="18"/>
        <v>1</v>
      </c>
      <c r="S101" s="6" t="b">
        <f t="shared" si="23"/>
        <v>1</v>
      </c>
      <c r="T101" s="6">
        <f t="shared" si="24"/>
        <v>1</v>
      </c>
    </row>
    <row r="102" spans="2:20" ht="20.149999999999999" customHeight="1" x14ac:dyDescent="0.35">
      <c r="B102" s="187">
        <v>83</v>
      </c>
      <c r="C102" s="187">
        <f t="shared" si="19"/>
        <v>112</v>
      </c>
      <c r="D102" s="502">
        <f t="shared" si="20"/>
        <v>0</v>
      </c>
      <c r="E102" s="503"/>
      <c r="F102" s="502">
        <f t="shared" si="15"/>
        <v>0</v>
      </c>
      <c r="G102" s="503"/>
      <c r="H102" s="502">
        <f t="shared" si="16"/>
        <v>0</v>
      </c>
      <c r="I102" s="503"/>
      <c r="J102" s="502">
        <f t="shared" si="21"/>
        <v>0</v>
      </c>
      <c r="K102" s="503"/>
      <c r="L102" s="502">
        <f t="shared" si="22"/>
        <v>0</v>
      </c>
      <c r="M102" s="503"/>
      <c r="N102" s="502">
        <f t="shared" si="17"/>
        <v>0</v>
      </c>
      <c r="O102" s="503"/>
      <c r="Q102" s="6" t="b">
        <f t="shared" si="18"/>
        <v>1</v>
      </c>
      <c r="S102" s="6" t="b">
        <f t="shared" si="23"/>
        <v>1</v>
      </c>
      <c r="T102" s="6">
        <f t="shared" si="24"/>
        <v>0</v>
      </c>
    </row>
    <row r="103" spans="2:20" ht="20.149999999999999" customHeight="1" x14ac:dyDescent="0.35">
      <c r="B103" s="187">
        <v>84</v>
      </c>
      <c r="C103" s="187">
        <f t="shared" si="19"/>
        <v>113</v>
      </c>
      <c r="D103" s="502">
        <f t="shared" si="20"/>
        <v>0</v>
      </c>
      <c r="E103" s="503"/>
      <c r="F103" s="502">
        <f t="shared" si="15"/>
        <v>0</v>
      </c>
      <c r="G103" s="503"/>
      <c r="H103" s="502">
        <f t="shared" si="16"/>
        <v>0</v>
      </c>
      <c r="I103" s="503"/>
      <c r="J103" s="502">
        <f t="shared" si="21"/>
        <v>0</v>
      </c>
      <c r="K103" s="503"/>
      <c r="L103" s="502">
        <f t="shared" si="22"/>
        <v>0</v>
      </c>
      <c r="M103" s="503"/>
      <c r="N103" s="502">
        <f t="shared" si="17"/>
        <v>0</v>
      </c>
      <c r="O103" s="503"/>
      <c r="Q103" s="6" t="b">
        <f t="shared" si="18"/>
        <v>1</v>
      </c>
      <c r="S103" s="6" t="b">
        <f t="shared" si="23"/>
        <v>1</v>
      </c>
      <c r="T103" s="6">
        <f t="shared" si="24"/>
        <v>1</v>
      </c>
    </row>
    <row r="104" spans="2:20" ht="20.149999999999999" customHeight="1" x14ac:dyDescent="0.35">
      <c r="B104" s="187">
        <v>85</v>
      </c>
      <c r="C104" s="187">
        <f t="shared" si="19"/>
        <v>114</v>
      </c>
      <c r="D104" s="502">
        <f t="shared" si="20"/>
        <v>0</v>
      </c>
      <c r="E104" s="503"/>
      <c r="F104" s="502">
        <f t="shared" si="15"/>
        <v>0</v>
      </c>
      <c r="G104" s="503"/>
      <c r="H104" s="502">
        <f t="shared" si="16"/>
        <v>0</v>
      </c>
      <c r="I104" s="503"/>
      <c r="J104" s="502">
        <f t="shared" si="21"/>
        <v>0</v>
      </c>
      <c r="K104" s="503"/>
      <c r="L104" s="502">
        <f t="shared" si="22"/>
        <v>0</v>
      </c>
      <c r="M104" s="503"/>
      <c r="N104" s="502">
        <f t="shared" si="17"/>
        <v>0</v>
      </c>
      <c r="O104" s="503"/>
      <c r="Q104" s="6" t="b">
        <f t="shared" si="18"/>
        <v>1</v>
      </c>
      <c r="S104" s="6" t="b">
        <f t="shared" si="23"/>
        <v>1</v>
      </c>
      <c r="T104" s="6">
        <f t="shared" si="24"/>
        <v>0</v>
      </c>
    </row>
    <row r="105" spans="2:20" ht="20.149999999999999" customHeight="1" x14ac:dyDescent="0.35">
      <c r="B105" s="187">
        <v>86</v>
      </c>
      <c r="C105" s="187">
        <f t="shared" si="19"/>
        <v>115</v>
      </c>
      <c r="D105" s="502">
        <f t="shared" si="20"/>
        <v>0</v>
      </c>
      <c r="E105" s="503"/>
      <c r="F105" s="502">
        <f t="shared" si="15"/>
        <v>0</v>
      </c>
      <c r="G105" s="503"/>
      <c r="H105" s="502">
        <f t="shared" si="16"/>
        <v>0</v>
      </c>
      <c r="I105" s="503"/>
      <c r="J105" s="502">
        <f t="shared" si="21"/>
        <v>0</v>
      </c>
      <c r="K105" s="503"/>
      <c r="L105" s="502">
        <f t="shared" si="22"/>
        <v>0</v>
      </c>
      <c r="M105" s="503"/>
      <c r="N105" s="502">
        <f t="shared" si="17"/>
        <v>0</v>
      </c>
      <c r="O105" s="503"/>
      <c r="Q105" s="6" t="b">
        <f t="shared" si="18"/>
        <v>1</v>
      </c>
      <c r="S105" s="6" t="b">
        <f t="shared" si="23"/>
        <v>1</v>
      </c>
      <c r="T105" s="6">
        <f t="shared" si="24"/>
        <v>1</v>
      </c>
    </row>
    <row r="106" spans="2:20" ht="20.149999999999999" customHeight="1" x14ac:dyDescent="0.35">
      <c r="B106" s="187">
        <v>87</v>
      </c>
      <c r="C106" s="187">
        <f t="shared" si="19"/>
        <v>116</v>
      </c>
      <c r="D106" s="502">
        <f t="shared" si="20"/>
        <v>0</v>
      </c>
      <c r="E106" s="503"/>
      <c r="F106" s="502">
        <f t="shared" si="15"/>
        <v>0</v>
      </c>
      <c r="G106" s="503"/>
      <c r="H106" s="502">
        <f t="shared" si="16"/>
        <v>0</v>
      </c>
      <c r="I106" s="503"/>
      <c r="J106" s="502">
        <f t="shared" si="21"/>
        <v>0</v>
      </c>
      <c r="K106" s="503"/>
      <c r="L106" s="502">
        <f t="shared" si="22"/>
        <v>0</v>
      </c>
      <c r="M106" s="503"/>
      <c r="N106" s="502">
        <f t="shared" si="17"/>
        <v>0</v>
      </c>
      <c r="O106" s="503"/>
      <c r="Q106" s="6" t="b">
        <f t="shared" si="18"/>
        <v>1</v>
      </c>
      <c r="S106" s="6" t="b">
        <f t="shared" si="23"/>
        <v>1</v>
      </c>
      <c r="T106" s="6">
        <f t="shared" si="24"/>
        <v>0</v>
      </c>
    </row>
    <row r="107" spans="2:20" ht="20.149999999999999" customHeight="1" x14ac:dyDescent="0.35">
      <c r="B107" s="187">
        <v>88</v>
      </c>
      <c r="C107" s="187">
        <f t="shared" si="19"/>
        <v>117</v>
      </c>
      <c r="D107" s="502">
        <f t="shared" si="20"/>
        <v>0</v>
      </c>
      <c r="E107" s="503"/>
      <c r="F107" s="502">
        <f t="shared" si="15"/>
        <v>0</v>
      </c>
      <c r="G107" s="503"/>
      <c r="H107" s="502">
        <f t="shared" si="16"/>
        <v>0</v>
      </c>
      <c r="I107" s="503"/>
      <c r="J107" s="502">
        <f t="shared" si="21"/>
        <v>0</v>
      </c>
      <c r="K107" s="503"/>
      <c r="L107" s="502">
        <f t="shared" si="22"/>
        <v>0</v>
      </c>
      <c r="M107" s="503"/>
      <c r="N107" s="502">
        <f t="shared" si="17"/>
        <v>0</v>
      </c>
      <c r="O107" s="503"/>
      <c r="Q107" s="6" t="b">
        <f t="shared" si="18"/>
        <v>1</v>
      </c>
      <c r="S107" s="6" t="b">
        <f t="shared" si="23"/>
        <v>1</v>
      </c>
      <c r="T107" s="6">
        <f t="shared" si="24"/>
        <v>1</v>
      </c>
    </row>
    <row r="108" spans="2:20" ht="20.149999999999999" customHeight="1" x14ac:dyDescent="0.35">
      <c r="B108" s="187">
        <v>89</v>
      </c>
      <c r="C108" s="187">
        <f t="shared" si="19"/>
        <v>118</v>
      </c>
      <c r="D108" s="502">
        <f t="shared" si="20"/>
        <v>0</v>
      </c>
      <c r="E108" s="503"/>
      <c r="F108" s="502">
        <f t="shared" si="15"/>
        <v>0</v>
      </c>
      <c r="G108" s="503"/>
      <c r="H108" s="502">
        <f t="shared" si="16"/>
        <v>0</v>
      </c>
      <c r="I108" s="503"/>
      <c r="J108" s="502">
        <f t="shared" si="21"/>
        <v>0</v>
      </c>
      <c r="K108" s="503"/>
      <c r="L108" s="502">
        <f t="shared" si="22"/>
        <v>0</v>
      </c>
      <c r="M108" s="503"/>
      <c r="N108" s="502">
        <f t="shared" si="17"/>
        <v>0</v>
      </c>
      <c r="O108" s="503"/>
      <c r="Q108" s="6" t="b">
        <f t="shared" si="18"/>
        <v>1</v>
      </c>
      <c r="S108" s="6" t="b">
        <f t="shared" si="23"/>
        <v>1</v>
      </c>
      <c r="T108" s="6">
        <f t="shared" si="24"/>
        <v>0</v>
      </c>
    </row>
    <row r="109" spans="2:20" ht="20.149999999999999" customHeight="1" x14ac:dyDescent="0.35">
      <c r="B109" s="187">
        <v>90</v>
      </c>
      <c r="C109" s="187">
        <f t="shared" si="19"/>
        <v>119</v>
      </c>
      <c r="D109" s="502">
        <f t="shared" si="20"/>
        <v>0</v>
      </c>
      <c r="E109" s="503"/>
      <c r="F109" s="502">
        <f t="shared" si="15"/>
        <v>0</v>
      </c>
      <c r="G109" s="503"/>
      <c r="H109" s="502">
        <f t="shared" si="16"/>
        <v>0</v>
      </c>
      <c r="I109" s="503"/>
      <c r="J109" s="502">
        <f t="shared" si="21"/>
        <v>0</v>
      </c>
      <c r="K109" s="503"/>
      <c r="L109" s="502">
        <f t="shared" si="22"/>
        <v>0</v>
      </c>
      <c r="M109" s="503"/>
      <c r="N109" s="502">
        <f t="shared" si="17"/>
        <v>0</v>
      </c>
      <c r="O109" s="503"/>
      <c r="Q109" s="6" t="b">
        <f t="shared" si="18"/>
        <v>1</v>
      </c>
      <c r="S109" s="6" t="b">
        <f t="shared" si="23"/>
        <v>1</v>
      </c>
      <c r="T109" s="6">
        <f t="shared" si="24"/>
        <v>1</v>
      </c>
    </row>
    <row r="110" spans="2:20" ht="20.149999999999999" customHeight="1" x14ac:dyDescent="0.35">
      <c r="B110" s="187">
        <v>91</v>
      </c>
      <c r="C110" s="187">
        <f t="shared" si="19"/>
        <v>120</v>
      </c>
      <c r="D110" s="502">
        <f t="shared" si="20"/>
        <v>0</v>
      </c>
      <c r="E110" s="503"/>
      <c r="F110" s="502">
        <f t="shared" si="15"/>
        <v>0</v>
      </c>
      <c r="G110" s="503"/>
      <c r="H110" s="502">
        <f t="shared" si="16"/>
        <v>0</v>
      </c>
      <c r="I110" s="503"/>
      <c r="J110" s="502">
        <f t="shared" si="21"/>
        <v>0</v>
      </c>
      <c r="K110" s="503"/>
      <c r="L110" s="502">
        <f t="shared" si="22"/>
        <v>0</v>
      </c>
      <c r="M110" s="503"/>
      <c r="N110" s="502">
        <f t="shared" si="17"/>
        <v>0</v>
      </c>
      <c r="O110" s="503"/>
      <c r="Q110" s="6" t="b">
        <f t="shared" si="18"/>
        <v>1</v>
      </c>
      <c r="S110" s="6" t="b">
        <f t="shared" si="23"/>
        <v>1</v>
      </c>
      <c r="T110" s="6">
        <f t="shared" si="24"/>
        <v>0</v>
      </c>
    </row>
    <row r="111" spans="2:20" ht="20.149999999999999" customHeight="1" x14ac:dyDescent="0.35">
      <c r="B111" s="187">
        <v>92</v>
      </c>
      <c r="C111" s="187">
        <f t="shared" si="19"/>
        <v>121</v>
      </c>
      <c r="D111" s="502">
        <f t="shared" si="20"/>
        <v>0</v>
      </c>
      <c r="E111" s="503"/>
      <c r="F111" s="502">
        <f t="shared" si="15"/>
        <v>0</v>
      </c>
      <c r="G111" s="503"/>
      <c r="H111" s="502">
        <f t="shared" si="16"/>
        <v>0</v>
      </c>
      <c r="I111" s="503"/>
      <c r="J111" s="502">
        <f t="shared" si="21"/>
        <v>0</v>
      </c>
      <c r="K111" s="503"/>
      <c r="L111" s="502">
        <f t="shared" si="22"/>
        <v>0</v>
      </c>
      <c r="M111" s="503"/>
      <c r="N111" s="502">
        <f t="shared" si="17"/>
        <v>0</v>
      </c>
      <c r="O111" s="503"/>
      <c r="Q111" s="6" t="b">
        <f t="shared" si="18"/>
        <v>1</v>
      </c>
      <c r="S111" s="6" t="b">
        <f t="shared" si="23"/>
        <v>1</v>
      </c>
      <c r="T111" s="6">
        <f t="shared" si="24"/>
        <v>1</v>
      </c>
    </row>
    <row r="112" spans="2:20" ht="20.149999999999999" customHeight="1" x14ac:dyDescent="0.35">
      <c r="B112" s="187">
        <v>93</v>
      </c>
      <c r="C112" s="187">
        <f t="shared" si="19"/>
        <v>122</v>
      </c>
      <c r="D112" s="502">
        <f t="shared" si="20"/>
        <v>0</v>
      </c>
      <c r="E112" s="503"/>
      <c r="F112" s="502">
        <f t="shared" si="15"/>
        <v>0</v>
      </c>
      <c r="G112" s="503"/>
      <c r="H112" s="502">
        <f t="shared" si="16"/>
        <v>0</v>
      </c>
      <c r="I112" s="503"/>
      <c r="J112" s="502">
        <f t="shared" si="21"/>
        <v>0</v>
      </c>
      <c r="K112" s="503"/>
      <c r="L112" s="502">
        <f t="shared" si="22"/>
        <v>0</v>
      </c>
      <c r="M112" s="503"/>
      <c r="N112" s="502">
        <f t="shared" si="17"/>
        <v>0</v>
      </c>
      <c r="O112" s="503"/>
      <c r="Q112" s="6" t="b">
        <f t="shared" si="18"/>
        <v>1</v>
      </c>
      <c r="S112" s="6" t="b">
        <f t="shared" si="23"/>
        <v>1</v>
      </c>
      <c r="T112" s="6">
        <f t="shared" si="24"/>
        <v>0</v>
      </c>
    </row>
    <row r="113" spans="2:20" ht="20.149999999999999" customHeight="1" x14ac:dyDescent="0.35">
      <c r="B113" s="187">
        <v>94</v>
      </c>
      <c r="C113" s="187">
        <f t="shared" si="19"/>
        <v>123</v>
      </c>
      <c r="D113" s="502">
        <f t="shared" si="20"/>
        <v>0</v>
      </c>
      <c r="E113" s="503"/>
      <c r="F113" s="502">
        <f t="shared" si="15"/>
        <v>0</v>
      </c>
      <c r="G113" s="503"/>
      <c r="H113" s="502">
        <f t="shared" si="16"/>
        <v>0</v>
      </c>
      <c r="I113" s="503"/>
      <c r="J113" s="502">
        <f t="shared" si="21"/>
        <v>0</v>
      </c>
      <c r="K113" s="503"/>
      <c r="L113" s="502">
        <f t="shared" si="22"/>
        <v>0</v>
      </c>
      <c r="M113" s="503"/>
      <c r="N113" s="502">
        <f t="shared" si="17"/>
        <v>0</v>
      </c>
      <c r="O113" s="503"/>
      <c r="Q113" s="6" t="b">
        <f t="shared" si="18"/>
        <v>1</v>
      </c>
      <c r="S113" s="6" t="b">
        <f t="shared" si="23"/>
        <v>1</v>
      </c>
      <c r="T113" s="6">
        <f t="shared" si="24"/>
        <v>1</v>
      </c>
    </row>
    <row r="114" spans="2:20" ht="20.149999999999999" customHeight="1" x14ac:dyDescent="0.35">
      <c r="B114" s="187">
        <v>95</v>
      </c>
      <c r="C114" s="187">
        <f t="shared" si="19"/>
        <v>124</v>
      </c>
      <c r="D114" s="502">
        <f t="shared" si="20"/>
        <v>0</v>
      </c>
      <c r="E114" s="503"/>
      <c r="F114" s="502">
        <f t="shared" si="15"/>
        <v>0</v>
      </c>
      <c r="G114" s="503"/>
      <c r="H114" s="502">
        <f t="shared" si="16"/>
        <v>0</v>
      </c>
      <c r="I114" s="503"/>
      <c r="J114" s="502">
        <f t="shared" si="21"/>
        <v>0</v>
      </c>
      <c r="K114" s="503"/>
      <c r="L114" s="502">
        <f t="shared" si="22"/>
        <v>0</v>
      </c>
      <c r="M114" s="503"/>
      <c r="N114" s="502">
        <f t="shared" si="17"/>
        <v>0</v>
      </c>
      <c r="O114" s="503"/>
      <c r="Q114" s="6" t="b">
        <f t="shared" si="18"/>
        <v>1</v>
      </c>
      <c r="S114" s="6" t="b">
        <f t="shared" si="23"/>
        <v>1</v>
      </c>
      <c r="T114" s="6">
        <f t="shared" si="24"/>
        <v>0</v>
      </c>
    </row>
    <row r="115" spans="2:20" ht="20.149999999999999" customHeight="1" x14ac:dyDescent="0.35">
      <c r="B115" s="187">
        <v>96</v>
      </c>
      <c r="C115" s="187">
        <f t="shared" si="19"/>
        <v>125</v>
      </c>
      <c r="D115" s="502">
        <f t="shared" si="20"/>
        <v>0</v>
      </c>
      <c r="E115" s="503"/>
      <c r="F115" s="502">
        <f t="shared" si="15"/>
        <v>0</v>
      </c>
      <c r="G115" s="503"/>
      <c r="H115" s="502">
        <f t="shared" si="16"/>
        <v>0</v>
      </c>
      <c r="I115" s="503"/>
      <c r="J115" s="502">
        <f t="shared" si="21"/>
        <v>0</v>
      </c>
      <c r="K115" s="503"/>
      <c r="L115" s="502">
        <f t="shared" si="22"/>
        <v>0</v>
      </c>
      <c r="M115" s="503"/>
      <c r="N115" s="502">
        <f t="shared" si="17"/>
        <v>0</v>
      </c>
      <c r="O115" s="503"/>
      <c r="Q115" s="6" t="b">
        <f t="shared" si="18"/>
        <v>1</v>
      </c>
      <c r="S115" s="6" t="b">
        <f t="shared" si="23"/>
        <v>1</v>
      </c>
      <c r="T115" s="6">
        <f t="shared" si="24"/>
        <v>1</v>
      </c>
    </row>
    <row r="116" spans="2:20" ht="20.149999999999999" customHeight="1" x14ac:dyDescent="0.35">
      <c r="B116" s="187">
        <v>97</v>
      </c>
      <c r="C116" s="187">
        <f t="shared" si="19"/>
        <v>126</v>
      </c>
      <c r="D116" s="502">
        <f t="shared" si="20"/>
        <v>0</v>
      </c>
      <c r="E116" s="503"/>
      <c r="F116" s="502">
        <f t="shared" si="15"/>
        <v>0</v>
      </c>
      <c r="G116" s="503"/>
      <c r="H116" s="502">
        <f t="shared" si="16"/>
        <v>0</v>
      </c>
      <c r="I116" s="503"/>
      <c r="J116" s="502">
        <f t="shared" si="21"/>
        <v>0</v>
      </c>
      <c r="K116" s="503"/>
      <c r="L116" s="502">
        <f t="shared" si="22"/>
        <v>0</v>
      </c>
      <c r="M116" s="503"/>
      <c r="N116" s="502">
        <f t="shared" si="17"/>
        <v>0</v>
      </c>
      <c r="O116" s="503"/>
      <c r="Q116" s="6" t="b">
        <f t="shared" si="18"/>
        <v>1</v>
      </c>
      <c r="S116" s="6" t="b">
        <f t="shared" si="23"/>
        <v>1</v>
      </c>
      <c r="T116" s="6">
        <f t="shared" si="24"/>
        <v>0</v>
      </c>
    </row>
    <row r="117" spans="2:20" ht="20.149999999999999" customHeight="1" x14ac:dyDescent="0.35">
      <c r="B117" s="187">
        <v>98</v>
      </c>
      <c r="C117" s="187">
        <f t="shared" si="19"/>
        <v>127</v>
      </c>
      <c r="D117" s="502">
        <f t="shared" si="20"/>
        <v>0</v>
      </c>
      <c r="E117" s="503"/>
      <c r="F117" s="502">
        <f t="shared" si="15"/>
        <v>0</v>
      </c>
      <c r="G117" s="503"/>
      <c r="H117" s="502">
        <f t="shared" si="16"/>
        <v>0</v>
      </c>
      <c r="I117" s="503"/>
      <c r="J117" s="502">
        <f t="shared" si="21"/>
        <v>0</v>
      </c>
      <c r="K117" s="503"/>
      <c r="L117" s="502">
        <f t="shared" si="22"/>
        <v>0</v>
      </c>
      <c r="M117" s="503"/>
      <c r="N117" s="502">
        <f t="shared" si="17"/>
        <v>0</v>
      </c>
      <c r="O117" s="503"/>
      <c r="Q117" s="6" t="b">
        <f t="shared" si="18"/>
        <v>1</v>
      </c>
      <c r="S117" s="6" t="b">
        <f t="shared" si="23"/>
        <v>1</v>
      </c>
      <c r="T117" s="6">
        <f t="shared" si="24"/>
        <v>1</v>
      </c>
    </row>
    <row r="118" spans="2:20" ht="20.149999999999999" customHeight="1" x14ac:dyDescent="0.35">
      <c r="B118" s="187">
        <v>99</v>
      </c>
      <c r="C118" s="187">
        <f t="shared" si="19"/>
        <v>128</v>
      </c>
      <c r="D118" s="502">
        <f t="shared" si="20"/>
        <v>0</v>
      </c>
      <c r="E118" s="503"/>
      <c r="F118" s="502">
        <f t="shared" si="15"/>
        <v>0</v>
      </c>
      <c r="G118" s="503"/>
      <c r="H118" s="502">
        <f t="shared" si="16"/>
        <v>0</v>
      </c>
      <c r="I118" s="503"/>
      <c r="J118" s="502">
        <f t="shared" si="21"/>
        <v>0</v>
      </c>
      <c r="K118" s="503"/>
      <c r="L118" s="502">
        <f t="shared" si="22"/>
        <v>0</v>
      </c>
      <c r="M118" s="503"/>
      <c r="N118" s="502">
        <f t="shared" si="17"/>
        <v>0</v>
      </c>
      <c r="O118" s="503"/>
      <c r="Q118" s="6" t="b">
        <f t="shared" si="18"/>
        <v>1</v>
      </c>
      <c r="S118" s="6" t="b">
        <f t="shared" si="23"/>
        <v>1</v>
      </c>
      <c r="T118" s="6">
        <f t="shared" si="24"/>
        <v>0</v>
      </c>
    </row>
    <row r="119" spans="2:20" ht="20.149999999999999" customHeight="1" x14ac:dyDescent="0.35">
      <c r="B119" s="187">
        <v>100</v>
      </c>
      <c r="C119" s="187">
        <f t="shared" si="19"/>
        <v>129</v>
      </c>
      <c r="D119" s="502">
        <f t="shared" si="20"/>
        <v>0</v>
      </c>
      <c r="E119" s="503"/>
      <c r="F119" s="502">
        <f t="shared" si="15"/>
        <v>0</v>
      </c>
      <c r="G119" s="503"/>
      <c r="H119" s="502">
        <f t="shared" si="16"/>
        <v>0</v>
      </c>
      <c r="I119" s="503"/>
      <c r="J119" s="502">
        <f t="shared" si="21"/>
        <v>0</v>
      </c>
      <c r="K119" s="503"/>
      <c r="L119" s="502">
        <f t="shared" si="22"/>
        <v>0</v>
      </c>
      <c r="M119" s="503"/>
      <c r="N119" s="502">
        <f t="shared" si="17"/>
        <v>0</v>
      </c>
      <c r="O119" s="503"/>
      <c r="Q119" s="6" t="b">
        <f t="shared" si="18"/>
        <v>1</v>
      </c>
      <c r="S119" s="6" t="b">
        <f t="shared" si="23"/>
        <v>1</v>
      </c>
      <c r="T119" s="6">
        <f t="shared" si="24"/>
        <v>1</v>
      </c>
    </row>
    <row r="120" spans="2:20" ht="14.5" customHeight="1" x14ac:dyDescent="0.35"/>
  </sheetData>
  <mergeCells count="623">
    <mergeCell ref="N116:O116"/>
    <mergeCell ref="N117:O117"/>
    <mergeCell ref="N118:O118"/>
    <mergeCell ref="N119:O119"/>
    <mergeCell ref="B2:J3"/>
    <mergeCell ref="N103:O103"/>
    <mergeCell ref="N104:O104"/>
    <mergeCell ref="N105:O105"/>
    <mergeCell ref="N106:O106"/>
    <mergeCell ref="N107:O107"/>
    <mergeCell ref="N108:O108"/>
    <mergeCell ref="N109:O109"/>
    <mergeCell ref="N110:O110"/>
    <mergeCell ref="N111:O111"/>
    <mergeCell ref="L116:M116"/>
    <mergeCell ref="L117:M117"/>
    <mergeCell ref="L118:M118"/>
    <mergeCell ref="L119:M119"/>
    <mergeCell ref="N20:O20"/>
    <mergeCell ref="N21:O21"/>
    <mergeCell ref="N22:O22"/>
    <mergeCell ref="N23:O23"/>
    <mergeCell ref="N24:O24"/>
    <mergeCell ref="N25:O25"/>
    <mergeCell ref="N26:O26"/>
    <mergeCell ref="N27:O27"/>
    <mergeCell ref="N28:O28"/>
    <mergeCell ref="N29:O29"/>
    <mergeCell ref="N30:O30"/>
    <mergeCell ref="L110:M110"/>
    <mergeCell ref="L111:M111"/>
    <mergeCell ref="L112:M112"/>
    <mergeCell ref="L113:M113"/>
    <mergeCell ref="L56:M56"/>
    <mergeCell ref="L57:M57"/>
    <mergeCell ref="L58:M58"/>
    <mergeCell ref="L59:M59"/>
    <mergeCell ref="L60:M60"/>
    <mergeCell ref="L61:M61"/>
    <mergeCell ref="L62:M62"/>
    <mergeCell ref="L63:M63"/>
    <mergeCell ref="L64:M64"/>
    <mergeCell ref="L65:M65"/>
    <mergeCell ref="L66:M66"/>
    <mergeCell ref="L67:M67"/>
    <mergeCell ref="L68:M68"/>
    <mergeCell ref="L69:M69"/>
    <mergeCell ref="L70:M70"/>
    <mergeCell ref="L114:M114"/>
    <mergeCell ref="L115:M115"/>
    <mergeCell ref="N31:O31"/>
    <mergeCell ref="N32:O32"/>
    <mergeCell ref="N33:O33"/>
    <mergeCell ref="N34:O34"/>
    <mergeCell ref="N35:O35"/>
    <mergeCell ref="N36:O36"/>
    <mergeCell ref="N37:O37"/>
    <mergeCell ref="N38:O38"/>
    <mergeCell ref="N39:O39"/>
    <mergeCell ref="N112:O112"/>
    <mergeCell ref="N113:O113"/>
    <mergeCell ref="N114:O114"/>
    <mergeCell ref="N115:O115"/>
    <mergeCell ref="L37:M37"/>
    <mergeCell ref="L38:M38"/>
    <mergeCell ref="L39:M39"/>
    <mergeCell ref="L40:M40"/>
    <mergeCell ref="L41:M41"/>
    <mergeCell ref="L42:M42"/>
    <mergeCell ref="L107:M107"/>
    <mergeCell ref="L108:M108"/>
    <mergeCell ref="L109:M109"/>
    <mergeCell ref="J113:K113"/>
    <mergeCell ref="J114:K114"/>
    <mergeCell ref="J115:K115"/>
    <mergeCell ref="J116:K116"/>
    <mergeCell ref="J117:K117"/>
    <mergeCell ref="J118:K118"/>
    <mergeCell ref="J119:K119"/>
    <mergeCell ref="L20:M20"/>
    <mergeCell ref="L21:M21"/>
    <mergeCell ref="L22:M22"/>
    <mergeCell ref="L23:M23"/>
    <mergeCell ref="L24:M24"/>
    <mergeCell ref="L25:M25"/>
    <mergeCell ref="L26:M26"/>
    <mergeCell ref="L27:M27"/>
    <mergeCell ref="L28:M28"/>
    <mergeCell ref="L29:M29"/>
    <mergeCell ref="L30:M30"/>
    <mergeCell ref="L31:M31"/>
    <mergeCell ref="L32:M32"/>
    <mergeCell ref="L33:M33"/>
    <mergeCell ref="L34:M34"/>
    <mergeCell ref="L35:M35"/>
    <mergeCell ref="L36:M36"/>
    <mergeCell ref="J104:K104"/>
    <mergeCell ref="J105:K105"/>
    <mergeCell ref="J106:K106"/>
    <mergeCell ref="J107:K107"/>
    <mergeCell ref="J108:K108"/>
    <mergeCell ref="J109:K109"/>
    <mergeCell ref="J110:K110"/>
    <mergeCell ref="J111:K111"/>
    <mergeCell ref="J112:K112"/>
    <mergeCell ref="H113:I113"/>
    <mergeCell ref="H114:I114"/>
    <mergeCell ref="H115:I115"/>
    <mergeCell ref="H116:I116"/>
    <mergeCell ref="H117:I117"/>
    <mergeCell ref="H118:I118"/>
    <mergeCell ref="H119:I119"/>
    <mergeCell ref="J20:K20"/>
    <mergeCell ref="J21:K21"/>
    <mergeCell ref="J22:K22"/>
    <mergeCell ref="J23:K23"/>
    <mergeCell ref="J24:K24"/>
    <mergeCell ref="J25:K25"/>
    <mergeCell ref="J26:K26"/>
    <mergeCell ref="J27:K27"/>
    <mergeCell ref="J28:K28"/>
    <mergeCell ref="J29:K29"/>
    <mergeCell ref="J30:K30"/>
    <mergeCell ref="J31:K31"/>
    <mergeCell ref="J32:K32"/>
    <mergeCell ref="J33:K33"/>
    <mergeCell ref="J34:K34"/>
    <mergeCell ref="J35:K35"/>
    <mergeCell ref="J36:K36"/>
    <mergeCell ref="F113:G113"/>
    <mergeCell ref="F114:G114"/>
    <mergeCell ref="F115:G115"/>
    <mergeCell ref="F116:G116"/>
    <mergeCell ref="F117:G117"/>
    <mergeCell ref="F118:G118"/>
    <mergeCell ref="F119:G119"/>
    <mergeCell ref="H20:I20"/>
    <mergeCell ref="H21:I21"/>
    <mergeCell ref="H22:I22"/>
    <mergeCell ref="H23:I23"/>
    <mergeCell ref="H24:I24"/>
    <mergeCell ref="H25:I25"/>
    <mergeCell ref="H26:I26"/>
    <mergeCell ref="H27:I27"/>
    <mergeCell ref="H28:I28"/>
    <mergeCell ref="H29:I29"/>
    <mergeCell ref="H30:I30"/>
    <mergeCell ref="H31:I31"/>
    <mergeCell ref="H32:I32"/>
    <mergeCell ref="H33:I33"/>
    <mergeCell ref="H34:I34"/>
    <mergeCell ref="H35:I35"/>
    <mergeCell ref="H36:I36"/>
    <mergeCell ref="D113:E113"/>
    <mergeCell ref="D114:E114"/>
    <mergeCell ref="D115:E115"/>
    <mergeCell ref="D116:E116"/>
    <mergeCell ref="D117:E117"/>
    <mergeCell ref="D118:E118"/>
    <mergeCell ref="D119:E1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D20:E20"/>
    <mergeCell ref="K5:O6"/>
    <mergeCell ref="K7:O8"/>
    <mergeCell ref="D107:E107"/>
    <mergeCell ref="D108:E108"/>
    <mergeCell ref="D109:E109"/>
    <mergeCell ref="D110:E110"/>
    <mergeCell ref="D111:E111"/>
    <mergeCell ref="D112:E112"/>
    <mergeCell ref="F37:G37"/>
    <mergeCell ref="F38:G38"/>
    <mergeCell ref="F39:G39"/>
    <mergeCell ref="H105:I105"/>
    <mergeCell ref="H106:I106"/>
    <mergeCell ref="H107:I107"/>
    <mergeCell ref="H108:I108"/>
    <mergeCell ref="H109:I109"/>
    <mergeCell ref="H110:I110"/>
    <mergeCell ref="H111:I111"/>
    <mergeCell ref="H112:I112"/>
    <mergeCell ref="J37:K37"/>
    <mergeCell ref="J101:K101"/>
    <mergeCell ref="J102:K102"/>
    <mergeCell ref="J103:K103"/>
    <mergeCell ref="K9:O10"/>
    <mergeCell ref="K11:O12"/>
    <mergeCell ref="C18:C19"/>
    <mergeCell ref="D18:E19"/>
    <mergeCell ref="F18:G19"/>
    <mergeCell ref="H18:I19"/>
    <mergeCell ref="J18:K19"/>
    <mergeCell ref="L18:M19"/>
    <mergeCell ref="N18:O19"/>
    <mergeCell ref="H12:I12"/>
    <mergeCell ref="A2:A3"/>
    <mergeCell ref="H13:I13"/>
    <mergeCell ref="B18:B19"/>
    <mergeCell ref="H9:I9"/>
    <mergeCell ref="H5:I5"/>
    <mergeCell ref="H6:I6"/>
    <mergeCell ref="H7:I7"/>
    <mergeCell ref="H10:I10"/>
    <mergeCell ref="H8:I8"/>
    <mergeCell ref="H11:I11"/>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F96:G96"/>
    <mergeCell ref="F97:G97"/>
    <mergeCell ref="F98:G98"/>
    <mergeCell ref="F99:G99"/>
    <mergeCell ref="F100:G100"/>
    <mergeCell ref="F101:G101"/>
    <mergeCell ref="F102:G102"/>
    <mergeCell ref="H37:I37"/>
    <mergeCell ref="H38:I38"/>
    <mergeCell ref="H39:I39"/>
    <mergeCell ref="H40:I40"/>
    <mergeCell ref="H41:I41"/>
    <mergeCell ref="H42:I42"/>
    <mergeCell ref="H43:I43"/>
    <mergeCell ref="H44:I44"/>
    <mergeCell ref="H45:I45"/>
    <mergeCell ref="H46:I46"/>
    <mergeCell ref="H47:I47"/>
    <mergeCell ref="H48:I48"/>
    <mergeCell ref="H49:I49"/>
    <mergeCell ref="H50:I50"/>
    <mergeCell ref="H51:I51"/>
    <mergeCell ref="H52:I52"/>
    <mergeCell ref="H53:I53"/>
    <mergeCell ref="H54:I54"/>
    <mergeCell ref="H55:I55"/>
    <mergeCell ref="H56:I56"/>
    <mergeCell ref="H57:I57"/>
    <mergeCell ref="H58:I58"/>
    <mergeCell ref="H59:I59"/>
    <mergeCell ref="H60:I60"/>
    <mergeCell ref="H61:I61"/>
    <mergeCell ref="H62:I62"/>
    <mergeCell ref="H63:I63"/>
    <mergeCell ref="H64:I64"/>
    <mergeCell ref="H65:I65"/>
    <mergeCell ref="H66:I66"/>
    <mergeCell ref="H67:I67"/>
    <mergeCell ref="H68:I68"/>
    <mergeCell ref="H69:I69"/>
    <mergeCell ref="H70:I70"/>
    <mergeCell ref="H71:I71"/>
    <mergeCell ref="H72:I72"/>
    <mergeCell ref="H73:I73"/>
    <mergeCell ref="H74:I74"/>
    <mergeCell ref="H75:I75"/>
    <mergeCell ref="H76:I76"/>
    <mergeCell ref="H77:I77"/>
    <mergeCell ref="H78:I78"/>
    <mergeCell ref="H79:I79"/>
    <mergeCell ref="H80:I80"/>
    <mergeCell ref="H81:I81"/>
    <mergeCell ref="H82:I82"/>
    <mergeCell ref="H83:I83"/>
    <mergeCell ref="H84:I84"/>
    <mergeCell ref="H85:I85"/>
    <mergeCell ref="H86:I86"/>
    <mergeCell ref="H87:I87"/>
    <mergeCell ref="H88:I88"/>
    <mergeCell ref="H89:I89"/>
    <mergeCell ref="H90:I90"/>
    <mergeCell ref="H91:I91"/>
    <mergeCell ref="H92:I92"/>
    <mergeCell ref="H93:I93"/>
    <mergeCell ref="H94:I94"/>
    <mergeCell ref="H95:I95"/>
    <mergeCell ref="H96:I96"/>
    <mergeCell ref="H97:I97"/>
    <mergeCell ref="H98:I98"/>
    <mergeCell ref="H99:I99"/>
    <mergeCell ref="H100:I100"/>
    <mergeCell ref="F103:G103"/>
    <mergeCell ref="F104:G104"/>
    <mergeCell ref="F105:G105"/>
    <mergeCell ref="F106:G106"/>
    <mergeCell ref="F107:G107"/>
    <mergeCell ref="F108:G108"/>
    <mergeCell ref="F109:G109"/>
    <mergeCell ref="F110:G110"/>
    <mergeCell ref="F111:G111"/>
    <mergeCell ref="F112:G112"/>
    <mergeCell ref="H101:I101"/>
    <mergeCell ref="H102:I102"/>
    <mergeCell ref="H103:I103"/>
    <mergeCell ref="H104:I104"/>
    <mergeCell ref="J38:K38"/>
    <mergeCell ref="J39:K39"/>
    <mergeCell ref="J40:K40"/>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J67:K67"/>
    <mergeCell ref="J68:K68"/>
    <mergeCell ref="J69:K69"/>
    <mergeCell ref="J70:K70"/>
    <mergeCell ref="J71:K71"/>
    <mergeCell ref="N40:O40"/>
    <mergeCell ref="N41:O41"/>
    <mergeCell ref="N42:O42"/>
    <mergeCell ref="N43:O43"/>
    <mergeCell ref="N44:O44"/>
    <mergeCell ref="N45:O45"/>
    <mergeCell ref="N46:O46"/>
    <mergeCell ref="L47:M47"/>
    <mergeCell ref="L48:M48"/>
    <mergeCell ref="N47:O47"/>
    <mergeCell ref="N48:O48"/>
    <mergeCell ref="J81:K81"/>
    <mergeCell ref="J82:K82"/>
    <mergeCell ref="J83:K83"/>
    <mergeCell ref="J84:K84"/>
    <mergeCell ref="L43:M43"/>
    <mergeCell ref="L44:M44"/>
    <mergeCell ref="L45:M45"/>
    <mergeCell ref="L46:M46"/>
    <mergeCell ref="L49:M49"/>
    <mergeCell ref="L50:M50"/>
    <mergeCell ref="L51:M51"/>
    <mergeCell ref="L52:M52"/>
    <mergeCell ref="L53:M53"/>
    <mergeCell ref="L54:M54"/>
    <mergeCell ref="L55:M55"/>
    <mergeCell ref="J72:K72"/>
    <mergeCell ref="J73:K73"/>
    <mergeCell ref="J74:K74"/>
    <mergeCell ref="J75:K75"/>
    <mergeCell ref="J76:K76"/>
    <mergeCell ref="J77:K77"/>
    <mergeCell ref="J78:K78"/>
    <mergeCell ref="J79:K79"/>
    <mergeCell ref="J80:K80"/>
    <mergeCell ref="L106:M106"/>
    <mergeCell ref="L89:M89"/>
    <mergeCell ref="L90:M90"/>
    <mergeCell ref="L91:M91"/>
    <mergeCell ref="L92:M92"/>
    <mergeCell ref="L93:M93"/>
    <mergeCell ref="L94:M94"/>
    <mergeCell ref="L95:M95"/>
    <mergeCell ref="L96:M96"/>
    <mergeCell ref="L97:M97"/>
    <mergeCell ref="L71:M71"/>
    <mergeCell ref="L72:M72"/>
    <mergeCell ref="L73:M73"/>
    <mergeCell ref="L74:M74"/>
    <mergeCell ref="L75:M75"/>
    <mergeCell ref="L76:M76"/>
    <mergeCell ref="L103:M103"/>
    <mergeCell ref="L104:M104"/>
    <mergeCell ref="L105:M105"/>
    <mergeCell ref="L77:M77"/>
    <mergeCell ref="L78:M78"/>
    <mergeCell ref="L79:M79"/>
    <mergeCell ref="L98:M98"/>
    <mergeCell ref="L99:M99"/>
    <mergeCell ref="L100:M100"/>
    <mergeCell ref="L101:M101"/>
    <mergeCell ref="L102:M102"/>
    <mergeCell ref="L80:M80"/>
    <mergeCell ref="L81:M81"/>
    <mergeCell ref="L82:M82"/>
    <mergeCell ref="L83:M83"/>
    <mergeCell ref="L84:M84"/>
    <mergeCell ref="L85:M85"/>
    <mergeCell ref="L86:M86"/>
    <mergeCell ref="L87:M87"/>
    <mergeCell ref="L88:M88"/>
    <mergeCell ref="N49:O49"/>
    <mergeCell ref="N50:O50"/>
    <mergeCell ref="N51:O51"/>
    <mergeCell ref="N52:O52"/>
    <mergeCell ref="N53:O53"/>
    <mergeCell ref="N54:O54"/>
    <mergeCell ref="N55:O55"/>
    <mergeCell ref="N69:O69"/>
    <mergeCell ref="N70:O70"/>
    <mergeCell ref="N56:O56"/>
    <mergeCell ref="N57:O57"/>
    <mergeCell ref="N58:O58"/>
    <mergeCell ref="N59:O59"/>
    <mergeCell ref="N60:O60"/>
    <mergeCell ref="N61:O61"/>
    <mergeCell ref="N62:O62"/>
    <mergeCell ref="N63:O63"/>
    <mergeCell ref="N64:O64"/>
    <mergeCell ref="N65:O65"/>
    <mergeCell ref="N66:O66"/>
    <mergeCell ref="N67:O67"/>
    <mergeCell ref="N68:O68"/>
    <mergeCell ref="N71:O71"/>
    <mergeCell ref="N72:O72"/>
    <mergeCell ref="N73:O73"/>
    <mergeCell ref="N74:O74"/>
    <mergeCell ref="N75:O75"/>
    <mergeCell ref="N76:O76"/>
    <mergeCell ref="N77:O77"/>
    <mergeCell ref="N78:O78"/>
    <mergeCell ref="N79:O79"/>
    <mergeCell ref="N80:O80"/>
    <mergeCell ref="N98:O98"/>
    <mergeCell ref="N99:O99"/>
    <mergeCell ref="N100:O100"/>
    <mergeCell ref="N81:O81"/>
    <mergeCell ref="N82:O82"/>
    <mergeCell ref="N83:O83"/>
    <mergeCell ref="N84:O84"/>
    <mergeCell ref="N85:O85"/>
    <mergeCell ref="N86:O86"/>
    <mergeCell ref="N87:O87"/>
    <mergeCell ref="N88:O88"/>
    <mergeCell ref="N89:O89"/>
    <mergeCell ref="N95:O95"/>
    <mergeCell ref="N96:O96"/>
    <mergeCell ref="N101:O101"/>
    <mergeCell ref="N102:O102"/>
    <mergeCell ref="J85:K85"/>
    <mergeCell ref="J86:K86"/>
    <mergeCell ref="J87:K87"/>
    <mergeCell ref="J88:K88"/>
    <mergeCell ref="J89:K89"/>
    <mergeCell ref="J90:K90"/>
    <mergeCell ref="J91:K91"/>
    <mergeCell ref="J92:K92"/>
    <mergeCell ref="J93:K93"/>
    <mergeCell ref="J94:K94"/>
    <mergeCell ref="J95:K95"/>
    <mergeCell ref="J96:K96"/>
    <mergeCell ref="J97:K97"/>
    <mergeCell ref="J98:K98"/>
    <mergeCell ref="J99:K99"/>
    <mergeCell ref="J100:K100"/>
    <mergeCell ref="N90:O90"/>
    <mergeCell ref="N91:O91"/>
    <mergeCell ref="N92:O92"/>
    <mergeCell ref="N93:O93"/>
    <mergeCell ref="N94:O94"/>
    <mergeCell ref="N97:O97"/>
  </mergeCells>
  <conditionalFormatting sqref="B21:O119">
    <cfRule type="expression" dxfId="10" priority="1">
      <formula>$S21=TRUE</formula>
    </cfRule>
    <cfRule type="expression" dxfId="9" priority="2">
      <formula>$T21=1</formula>
    </cfRule>
  </conditionalFormatting>
  <dataValidations count="2">
    <dataValidation type="whole" operator="lessThanOrEqual" allowBlank="1" showInputMessage="1" showErrorMessage="1" errorTitle="ERROR!!" error="No. of years cannot be more than 50!" sqref="H7:I7 H9" xr:uid="{1CC0AA80-FFF2-48A0-A39B-A6E679BF5EA8}">
      <formula1>50</formula1>
    </dataValidation>
    <dataValidation type="whole" operator="greaterThanOrEqual" allowBlank="1" showInputMessage="1" showErrorMessage="1" errorTitle="ERROR!!" error="No. of years cannot be negative!" sqref="H8:I8" xr:uid="{79399242-0C29-498E-9D02-CFD8AB2B156C}">
      <formula1>0</formula1>
    </dataValidation>
  </dataValidations>
  <hyperlinks>
    <hyperlink ref="A2:A3" location="'Main Menu'!A1" tooltip="HOME" display="BACK" xr:uid="{1EDDB05D-AF90-4CC6-8400-CD544E7E1BFB}"/>
  </hyperlinks>
  <printOptions horizontalCentered="1"/>
  <pageMargins left="0.23622047244094491" right="0.23622047244094491" top="0.23622047244094491" bottom="0.23622047244094491"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C90D7-EC6B-4C40-B868-309689CA8F85}">
  <dimension ref="A1:S26"/>
  <sheetViews>
    <sheetView showGridLines="0" zoomScaleNormal="100" workbookViewId="0">
      <selection activeCell="A2" sqref="A2:A3"/>
    </sheetView>
  </sheetViews>
  <sheetFormatPr defaultColWidth="0" defaultRowHeight="14.5" customHeight="1" zeroHeight="1" x14ac:dyDescent="0.35"/>
  <cols>
    <col min="1" max="15" width="9.1796875" style="6" customWidth="1"/>
    <col min="16" max="18" width="9.1796875" style="6" hidden="1" customWidth="1"/>
    <col min="19" max="19" width="20" style="6" hidden="1" customWidth="1"/>
    <col min="20" max="16384" width="9.1796875" style="6" hidden="1"/>
  </cols>
  <sheetData>
    <row r="1" spans="1:19" x14ac:dyDescent="0.35"/>
    <row r="2" spans="1:19" ht="14.5" customHeight="1" x14ac:dyDescent="0.35">
      <c r="A2" s="289" t="s">
        <v>5</v>
      </c>
      <c r="B2" s="290" t="s">
        <v>411</v>
      </c>
      <c r="C2" s="290"/>
      <c r="D2" s="290"/>
      <c r="E2" s="290"/>
      <c r="F2" s="290"/>
      <c r="G2" s="290"/>
      <c r="H2" s="290"/>
      <c r="I2" s="290"/>
      <c r="J2" s="290"/>
      <c r="K2" s="76"/>
      <c r="L2" s="76"/>
      <c r="N2"/>
      <c r="O2"/>
    </row>
    <row r="3" spans="1:19" ht="14.5" customHeight="1" x14ac:dyDescent="0.35">
      <c r="A3" s="289"/>
      <c r="B3" s="338"/>
      <c r="C3" s="338"/>
      <c r="D3" s="338"/>
      <c r="E3" s="338"/>
      <c r="F3" s="338"/>
      <c r="G3" s="338"/>
      <c r="H3" s="338"/>
      <c r="I3" s="338"/>
      <c r="J3" s="338"/>
      <c r="K3" s="76"/>
      <c r="L3" s="76"/>
      <c r="N3"/>
      <c r="O3"/>
    </row>
    <row r="4" spans="1:19" x14ac:dyDescent="0.35">
      <c r="Q4" s="6" t="s">
        <v>200</v>
      </c>
      <c r="S4" s="77">
        <f>IF(OR(ISBLANK(K13),K13=0),12*K12,12*K13)</f>
        <v>600000</v>
      </c>
    </row>
    <row r="5" spans="1:19" ht="9.65" customHeight="1" x14ac:dyDescent="0.35">
      <c r="S5" s="77"/>
    </row>
    <row r="6" spans="1:19" ht="20.149999999999999" customHeight="1" thickBot="1" x14ac:dyDescent="0.4">
      <c r="E6" s="218" t="s">
        <v>234</v>
      </c>
      <c r="F6" s="111"/>
      <c r="G6" s="111"/>
      <c r="H6" s="111"/>
      <c r="I6" s="111"/>
      <c r="J6" s="111"/>
      <c r="K6" s="111"/>
      <c r="L6" s="111"/>
      <c r="S6" s="77"/>
    </row>
    <row r="7" spans="1:19" ht="25.15" customHeight="1" thickTop="1" x14ac:dyDescent="0.35">
      <c r="E7" s="112" t="s">
        <v>162</v>
      </c>
      <c r="F7" s="113"/>
      <c r="G7" s="113"/>
      <c r="H7" s="113"/>
      <c r="I7" s="113"/>
      <c r="J7" s="113"/>
      <c r="K7" s="548">
        <v>45</v>
      </c>
      <c r="L7" s="549"/>
      <c r="M7"/>
      <c r="N7"/>
      <c r="O7"/>
    </row>
    <row r="8" spans="1:19" ht="25.15" customHeight="1" x14ac:dyDescent="0.35">
      <c r="E8" s="114" t="s">
        <v>201</v>
      </c>
      <c r="F8" s="29"/>
      <c r="G8" s="29"/>
      <c r="H8" s="29"/>
      <c r="I8" s="29"/>
      <c r="J8" s="29"/>
      <c r="K8" s="293">
        <v>40</v>
      </c>
      <c r="L8" s="551"/>
      <c r="M8"/>
      <c r="N8"/>
      <c r="O8"/>
      <c r="Q8" s="6" t="s">
        <v>202</v>
      </c>
      <c r="S8" s="46">
        <f>((1+K18)/(1+K14))-1</f>
        <v>2.8037383177570208E-2</v>
      </c>
    </row>
    <row r="9" spans="1:19" ht="25.15" customHeight="1" thickBot="1" x14ac:dyDescent="0.4">
      <c r="E9" s="115" t="s">
        <v>203</v>
      </c>
      <c r="F9" s="116"/>
      <c r="G9" s="116"/>
      <c r="H9" s="116"/>
      <c r="I9" s="116"/>
      <c r="J9" s="116"/>
      <c r="K9" s="552">
        <v>85</v>
      </c>
      <c r="L9" s="553"/>
      <c r="M9"/>
      <c r="N9"/>
      <c r="O9"/>
      <c r="Q9" s="6" t="s">
        <v>204</v>
      </c>
      <c r="S9" s="78">
        <f>-PV(S8,K9-K8,S4,,1)</f>
        <v>15660984.049893757</v>
      </c>
    </row>
    <row r="10" spans="1:19" customFormat="1" ht="13.9" customHeight="1" thickTop="1" x14ac:dyDescent="0.35">
      <c r="B10" s="6"/>
      <c r="C10" s="6"/>
      <c r="D10" s="6"/>
      <c r="E10" s="82"/>
      <c r="F10" s="82"/>
      <c r="G10" s="82"/>
      <c r="H10" s="82"/>
      <c r="I10" s="82"/>
      <c r="J10" s="82"/>
      <c r="K10" s="82"/>
      <c r="L10" s="82"/>
    </row>
    <row r="11" spans="1:19" customFormat="1" ht="20.149999999999999" customHeight="1" thickBot="1" x14ac:dyDescent="0.4">
      <c r="B11" s="6"/>
      <c r="C11" s="6"/>
      <c r="D11" s="6"/>
      <c r="E11" s="218" t="s">
        <v>235</v>
      </c>
      <c r="F11" s="82"/>
      <c r="G11" s="82"/>
      <c r="H11" s="82"/>
      <c r="I11" s="82"/>
      <c r="J11" s="82"/>
      <c r="K11" s="82"/>
      <c r="L11" s="82"/>
    </row>
    <row r="12" spans="1:19" ht="25.15" customHeight="1" thickTop="1" x14ac:dyDescent="0.35">
      <c r="E12" s="112" t="s">
        <v>205</v>
      </c>
      <c r="F12" s="113"/>
      <c r="G12" s="113"/>
      <c r="H12" s="113"/>
      <c r="I12" s="113"/>
      <c r="J12" s="113"/>
      <c r="K12" s="548">
        <v>50000</v>
      </c>
      <c r="L12" s="549"/>
      <c r="M12"/>
      <c r="N12"/>
      <c r="O12"/>
      <c r="Q12" s="6" t="s">
        <v>206</v>
      </c>
      <c r="S12" s="78">
        <f>S9+K17</f>
        <v>18660984.049893759</v>
      </c>
    </row>
    <row r="13" spans="1:19" ht="25.15" customHeight="1" x14ac:dyDescent="0.35">
      <c r="E13" s="117" t="s">
        <v>291</v>
      </c>
      <c r="F13" s="118"/>
      <c r="G13" s="118"/>
      <c r="H13" s="118"/>
      <c r="I13" s="29"/>
      <c r="J13" s="29"/>
      <c r="K13" s="293"/>
      <c r="L13" s="551"/>
      <c r="Q13" s="6" t="s">
        <v>207</v>
      </c>
      <c r="S13" s="77">
        <f>K20</f>
        <v>2500000</v>
      </c>
    </row>
    <row r="14" spans="1:19" ht="25.15" customHeight="1" thickBot="1" x14ac:dyDescent="0.4">
      <c r="E14" s="115" t="s">
        <v>46</v>
      </c>
      <c r="F14" s="116"/>
      <c r="G14" s="116"/>
      <c r="H14" s="116"/>
      <c r="I14" s="116"/>
      <c r="J14" s="116"/>
      <c r="K14" s="546">
        <v>7.0000000000000007E-2</v>
      </c>
      <c r="L14" s="547"/>
      <c r="Q14" s="6" t="s">
        <v>208</v>
      </c>
      <c r="S14" s="77">
        <f>K21</f>
        <v>1000000</v>
      </c>
    </row>
    <row r="15" spans="1:19" customFormat="1" ht="12" customHeight="1" thickTop="1" x14ac:dyDescent="0.35">
      <c r="B15" s="6"/>
      <c r="C15" s="6"/>
      <c r="D15" s="6"/>
      <c r="E15" s="82"/>
      <c r="F15" s="82"/>
      <c r="G15" s="82"/>
      <c r="H15" s="111"/>
      <c r="I15" s="111"/>
      <c r="J15" s="111"/>
      <c r="K15" s="111"/>
      <c r="L15" s="111"/>
      <c r="M15" s="6"/>
      <c r="N15" s="6"/>
      <c r="O15" s="6"/>
    </row>
    <row r="16" spans="1:19" customFormat="1" ht="20.149999999999999" customHeight="1" thickBot="1" x14ac:dyDescent="0.4">
      <c r="B16" s="6"/>
      <c r="C16" s="6"/>
      <c r="D16" s="6"/>
      <c r="E16" s="218" t="s">
        <v>309</v>
      </c>
      <c r="F16" s="82"/>
      <c r="G16" s="82"/>
      <c r="H16" s="111"/>
      <c r="I16" s="111"/>
      <c r="J16" s="111"/>
      <c r="K16" s="111"/>
      <c r="L16" s="111"/>
      <c r="M16" s="6"/>
      <c r="N16" s="6"/>
      <c r="O16" s="6"/>
    </row>
    <row r="17" spans="2:19" ht="25.15" customHeight="1" thickTop="1" x14ac:dyDescent="0.35">
      <c r="E17" s="112" t="s">
        <v>310</v>
      </c>
      <c r="F17" s="113"/>
      <c r="G17" s="113"/>
      <c r="H17" s="113"/>
      <c r="I17" s="113"/>
      <c r="J17" s="113"/>
      <c r="K17" s="548">
        <v>3000000</v>
      </c>
      <c r="L17" s="549"/>
      <c r="M17"/>
      <c r="N17"/>
      <c r="O17"/>
      <c r="Q17" s="6" t="s">
        <v>209</v>
      </c>
      <c r="S17" s="78">
        <f>S12-S13-S14</f>
        <v>15160984.049893759</v>
      </c>
    </row>
    <row r="18" spans="2:19" ht="25.15" customHeight="1" x14ac:dyDescent="0.35">
      <c r="E18" s="114" t="s">
        <v>210</v>
      </c>
      <c r="F18" s="29"/>
      <c r="G18" s="29"/>
      <c r="H18" s="29"/>
      <c r="I18" s="29"/>
      <c r="J18" s="29"/>
      <c r="K18" s="280">
        <v>0.1</v>
      </c>
      <c r="L18" s="550"/>
      <c r="M18"/>
      <c r="N18"/>
      <c r="O18"/>
    </row>
    <row r="19" spans="2:19" ht="25.15" customHeight="1" x14ac:dyDescent="0.35">
      <c r="E19" s="119" t="s">
        <v>292</v>
      </c>
      <c r="F19" s="120"/>
      <c r="G19" s="120"/>
      <c r="H19" s="120"/>
      <c r="I19" s="120"/>
      <c r="J19" s="121"/>
      <c r="K19" s="544">
        <f>K22+SUM(K20:L21)</f>
        <v>18660984.049893759</v>
      </c>
      <c r="L19" s="554"/>
      <c r="M19"/>
      <c r="N19"/>
      <c r="O19"/>
    </row>
    <row r="20" spans="2:19" ht="25.15" customHeight="1" x14ac:dyDescent="0.35">
      <c r="E20" s="114" t="s">
        <v>211</v>
      </c>
      <c r="F20" s="29"/>
      <c r="G20" s="29"/>
      <c r="H20" s="29"/>
      <c r="I20" s="29"/>
      <c r="J20" s="29"/>
      <c r="K20" s="293">
        <v>2500000</v>
      </c>
      <c r="L20" s="551"/>
      <c r="M20"/>
      <c r="N20"/>
      <c r="O20"/>
    </row>
    <row r="21" spans="2:19" customFormat="1" ht="25.15" customHeight="1" thickBot="1" x14ac:dyDescent="0.4">
      <c r="B21" s="6"/>
      <c r="C21" s="6"/>
      <c r="D21" s="6"/>
      <c r="E21" s="115" t="s">
        <v>347</v>
      </c>
      <c r="F21" s="116"/>
      <c r="G21" s="116"/>
      <c r="H21" s="116"/>
      <c r="I21" s="116"/>
      <c r="J21" s="116"/>
      <c r="K21" s="552">
        <v>1000000</v>
      </c>
      <c r="L21" s="553"/>
    </row>
    <row r="22" spans="2:19" ht="25.15" customHeight="1" thickTop="1" x14ac:dyDescent="0.35">
      <c r="E22" s="122" t="s">
        <v>308</v>
      </c>
      <c r="F22" s="120"/>
      <c r="G22" s="120"/>
      <c r="H22" s="120"/>
      <c r="I22" s="120"/>
      <c r="J22" s="121"/>
      <c r="K22" s="544">
        <f>S17</f>
        <v>15160984.049893759</v>
      </c>
      <c r="L22" s="545"/>
    </row>
    <row r="23" spans="2:19" ht="20.149999999999999" customHeight="1" x14ac:dyDescent="0.35">
      <c r="E23" s="111"/>
      <c r="F23" s="111"/>
      <c r="G23" s="111"/>
      <c r="H23" s="111"/>
      <c r="I23" s="111"/>
      <c r="J23" s="111"/>
      <c r="K23" s="111"/>
      <c r="L23" s="111"/>
    </row>
    <row r="24" spans="2:19" ht="20.149999999999999" customHeight="1" x14ac:dyDescent="0.35">
      <c r="E24" s="13" t="s">
        <v>255</v>
      </c>
      <c r="F24" s="111"/>
      <c r="G24" s="542" t="str">
        <f>" "&amp;UPPER('Main Menu'!C29)</f>
        <v xml:space="preserve"> CLIENT NAME</v>
      </c>
      <c r="H24" s="542"/>
      <c r="I24" s="542"/>
      <c r="J24" s="542"/>
      <c r="K24" s="542"/>
      <c r="L24" s="542"/>
      <c r="M24"/>
      <c r="N24"/>
      <c r="O24"/>
    </row>
    <row r="25" spans="2:19" ht="20.149999999999999" customHeight="1" x14ac:dyDescent="0.35">
      <c r="D25" s="9"/>
      <c r="E25" s="13" t="s">
        <v>256</v>
      </c>
      <c r="F25" s="111"/>
      <c r="G25" s="543" t="str">
        <f>" "&amp;UPPER('Main Menu'!L29)</f>
        <v xml:space="preserve"> PARTNER NAME</v>
      </c>
      <c r="H25" s="543"/>
      <c r="I25" s="543"/>
      <c r="J25" s="543"/>
      <c r="K25" s="543"/>
      <c r="L25" s="543"/>
      <c r="M25"/>
    </row>
    <row r="26" spans="2:19" ht="19.5" customHeight="1" x14ac:dyDescent="0.35">
      <c r="E26" s="111"/>
      <c r="F26" s="111"/>
      <c r="G26" s="111"/>
      <c r="H26" s="13"/>
      <c r="I26" s="111"/>
      <c r="J26" s="111"/>
      <c r="K26" s="71" t="str">
        <f ca="1">"Dated: "&amp; TEXT(TODAY(),"DD-MMM-YYYY")</f>
        <v>Dated: 28-Aug-2025</v>
      </c>
      <c r="L26" s="111"/>
    </row>
  </sheetData>
  <mergeCells count="16">
    <mergeCell ref="G24:L24"/>
    <mergeCell ref="G25:L25"/>
    <mergeCell ref="K22:L22"/>
    <mergeCell ref="A2:A3"/>
    <mergeCell ref="B2:J3"/>
    <mergeCell ref="K14:L14"/>
    <mergeCell ref="K17:L17"/>
    <mergeCell ref="K18:L18"/>
    <mergeCell ref="K20:L20"/>
    <mergeCell ref="K21:L21"/>
    <mergeCell ref="K7:L7"/>
    <mergeCell ref="K8:L8"/>
    <mergeCell ref="K9:L9"/>
    <mergeCell ref="K12:L12"/>
    <mergeCell ref="K13:L13"/>
    <mergeCell ref="K19:L19"/>
  </mergeCells>
  <dataValidations count="2">
    <dataValidation operator="lessThanOrEqual" allowBlank="1" showInputMessage="1" showErrorMessage="1" errorTitle="ERROR!!" error="No. of years cannot be more than 50!" sqref="K17" xr:uid="{C9DAC984-BDAD-4243-8F42-BDBAD6394889}"/>
    <dataValidation allowBlank="1" showInputMessage="1" showErrorMessage="1" errorTitle="ERROR!!" error="Original loan  tenure cannot be more than 30 years!" sqref="K8 K12 K20:K21 H20:H21 K14" xr:uid="{1F2DABC7-C29E-4AB0-8EE1-A6021D1B33FF}"/>
  </dataValidations>
  <hyperlinks>
    <hyperlink ref="A2:A3" location="'Main Menu'!A1" tooltip="HOME" display="BACK" xr:uid="{FCE6D707-F021-4498-826C-6FC8A1D5DF84}"/>
  </hyperlinks>
  <printOptions horizontalCentered="1"/>
  <pageMargins left="0.23622047244094491" right="0.23622047244094491" top="0.23622047244094491" bottom="0.23622047244094491" header="0.31496062992125984" footer="0.31496062992125984"/>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B4FF-BFE6-4ECB-915B-69B5B0FB5757}">
  <dimension ref="A1:V69"/>
  <sheetViews>
    <sheetView showGridLines="0" zoomScale="110" zoomScaleNormal="110" workbookViewId="0">
      <selection activeCell="A2" sqref="A2:A3"/>
    </sheetView>
  </sheetViews>
  <sheetFormatPr defaultColWidth="0" defaultRowHeight="15" customHeight="1" zeroHeight="1" x14ac:dyDescent="0.35"/>
  <cols>
    <col min="1" max="15" width="9.1796875" style="6" customWidth="1"/>
    <col min="16" max="17" width="9.1796875" style="6" hidden="1" customWidth="1"/>
    <col min="18" max="18" width="13.453125" style="6" hidden="1" customWidth="1"/>
    <col min="19" max="19" width="9.1796875" style="6" hidden="1" customWidth="1"/>
    <col min="20" max="20" width="11.26953125" style="6" hidden="1" customWidth="1"/>
    <col min="21" max="16384" width="9.1796875" style="6" hidden="1"/>
  </cols>
  <sheetData>
    <row r="1" spans="1:20" ht="14.5" x14ac:dyDescent="0.35">
      <c r="J1" s="573"/>
      <c r="K1" s="573"/>
      <c r="L1" s="573"/>
      <c r="M1" s="573"/>
      <c r="N1" s="573"/>
      <c r="O1" s="573"/>
    </row>
    <row r="2" spans="1:20" ht="15" customHeight="1" x14ac:dyDescent="0.35">
      <c r="A2" s="289" t="s">
        <v>5</v>
      </c>
      <c r="B2" s="290" t="s">
        <v>0</v>
      </c>
      <c r="C2" s="290"/>
      <c r="D2" s="290"/>
      <c r="E2" s="290"/>
      <c r="F2" s="290"/>
      <c r="G2" s="290"/>
      <c r="H2" s="290"/>
      <c r="J2" s="573"/>
      <c r="K2" s="573"/>
      <c r="L2" s="573"/>
      <c r="M2" s="573"/>
      <c r="N2" s="573"/>
      <c r="O2" s="573"/>
    </row>
    <row r="3" spans="1:20" ht="15" customHeight="1" x14ac:dyDescent="0.35">
      <c r="A3" s="289"/>
      <c r="B3" s="291"/>
      <c r="C3" s="291"/>
      <c r="D3" s="291"/>
      <c r="E3" s="291"/>
      <c r="F3" s="291"/>
      <c r="G3" s="291"/>
      <c r="H3" s="291"/>
      <c r="J3" s="573"/>
      <c r="K3" s="573"/>
      <c r="L3" s="573"/>
      <c r="M3" s="573"/>
      <c r="N3" s="573"/>
      <c r="O3" s="573"/>
    </row>
    <row r="4" spans="1:20" ht="14.5" x14ac:dyDescent="0.35">
      <c r="M4" s="574"/>
      <c r="N4" s="574"/>
    </row>
    <row r="5" spans="1:20" ht="20.149999999999999" customHeight="1" x14ac:dyDescent="0.35">
      <c r="B5" s="52" t="s">
        <v>40</v>
      </c>
      <c r="C5" s="10"/>
      <c r="D5" s="10"/>
      <c r="E5" s="10"/>
      <c r="F5" s="571">
        <v>40</v>
      </c>
      <c r="G5" s="572"/>
      <c r="H5" s="9"/>
      <c r="I5" s="74" t="str">
        <f>"Monthly expenses* @ retirement"</f>
        <v>Monthly expenses* @ retirement</v>
      </c>
      <c r="J5" s="69"/>
      <c r="K5" s="69"/>
      <c r="L5" s="75"/>
      <c r="M5" s="575">
        <f t="shared" ref="M5" si="0">FV(F9,F6-F5,,-F8)</f>
        <v>193484.22312430898</v>
      </c>
      <c r="N5" s="575"/>
      <c r="O5" s="45"/>
      <c r="P5" s="6" t="s">
        <v>41</v>
      </c>
      <c r="R5" s="46">
        <f>((1+F11)/(1+F9))-1</f>
        <v>2.8037383177570208E-2</v>
      </c>
    </row>
    <row r="6" spans="1:20" ht="20.149999999999999" customHeight="1" x14ac:dyDescent="0.35">
      <c r="B6" s="52" t="s">
        <v>42</v>
      </c>
      <c r="C6" s="10"/>
      <c r="D6" s="10"/>
      <c r="E6" s="10"/>
      <c r="F6" s="571">
        <v>60</v>
      </c>
      <c r="G6" s="572"/>
      <c r="H6" s="9"/>
      <c r="I6" s="74" t="s">
        <v>293</v>
      </c>
      <c r="J6" s="69"/>
      <c r="K6" s="69"/>
      <c r="L6" s="75"/>
      <c r="M6" s="576">
        <f t="shared" ref="M6" si="1">-PV(R5,F7-F6,M5*12,,1)</f>
        <v>42487328.691582143</v>
      </c>
      <c r="N6" s="576"/>
      <c r="O6" s="45"/>
      <c r="P6" s="6" t="s">
        <v>43</v>
      </c>
      <c r="R6" s="47">
        <f>FV(M8,F6-F5,,-M7)</f>
        <v>0</v>
      </c>
    </row>
    <row r="7" spans="1:20" ht="20.149999999999999" customHeight="1" x14ac:dyDescent="0.35">
      <c r="B7" s="52" t="s">
        <v>44</v>
      </c>
      <c r="C7" s="10"/>
      <c r="D7" s="10"/>
      <c r="E7" s="10"/>
      <c r="F7" s="571">
        <v>85</v>
      </c>
      <c r="G7" s="572"/>
      <c r="H7" s="21" t="str">
        <f>IF(F7&lt;F6,"Total investment tenure cannot be less than SIP tenure","")</f>
        <v/>
      </c>
      <c r="I7" s="56" t="s">
        <v>382</v>
      </c>
      <c r="J7" s="10"/>
      <c r="K7" s="10"/>
      <c r="L7" s="55"/>
      <c r="M7" s="579">
        <v>0</v>
      </c>
      <c r="N7" s="579"/>
      <c r="O7" s="45"/>
    </row>
    <row r="8" spans="1:20" ht="20.149999999999999" customHeight="1" x14ac:dyDescent="0.35">
      <c r="B8" s="52" t="s">
        <v>45</v>
      </c>
      <c r="C8" s="10"/>
      <c r="D8" s="10"/>
      <c r="E8" s="10"/>
      <c r="F8" s="571">
        <v>50000</v>
      </c>
      <c r="G8" s="572"/>
      <c r="H8" s="9"/>
      <c r="I8" s="52" t="s">
        <v>294</v>
      </c>
      <c r="J8" s="10"/>
      <c r="K8" s="10"/>
      <c r="L8" s="55"/>
      <c r="M8" s="577">
        <v>0.1</v>
      </c>
      <c r="N8" s="577"/>
      <c r="O8" s="45"/>
    </row>
    <row r="9" spans="1:20" ht="20.149999999999999" customHeight="1" x14ac:dyDescent="0.35">
      <c r="B9" s="52" t="s">
        <v>46</v>
      </c>
      <c r="C9" s="10"/>
      <c r="D9" s="10"/>
      <c r="E9" s="10"/>
      <c r="F9" s="565">
        <v>7.0000000000000007E-2</v>
      </c>
      <c r="G9" s="566"/>
      <c r="H9" s="9"/>
      <c r="I9" s="74" t="s">
        <v>47</v>
      </c>
      <c r="J9" s="69"/>
      <c r="K9" s="69"/>
      <c r="L9" s="75"/>
      <c r="M9" s="575">
        <f>-PV(F10,F6-F5,,M6-R6)</f>
        <v>4404523.9223762341</v>
      </c>
      <c r="N9" s="575"/>
      <c r="O9" s="45"/>
    </row>
    <row r="10" spans="1:20" ht="20.149999999999999" customHeight="1" x14ac:dyDescent="0.35">
      <c r="B10" s="52" t="s">
        <v>50</v>
      </c>
      <c r="C10" s="10"/>
      <c r="D10" s="10"/>
      <c r="E10" s="10"/>
      <c r="F10" s="565">
        <v>0.12</v>
      </c>
      <c r="G10" s="566"/>
      <c r="H10" s="9"/>
      <c r="I10" s="74" t="s">
        <v>49</v>
      </c>
      <c r="J10" s="69"/>
      <c r="K10" s="69"/>
      <c r="L10" s="75"/>
      <c r="M10" s="578">
        <f>-PMT((1+F10)^(1/12)-1,(F6-F5)*12,,M6-R6,1)</f>
        <v>46189.040535337401</v>
      </c>
      <c r="N10" s="578"/>
      <c r="O10" s="45"/>
      <c r="R10" s="48" t="s">
        <v>22</v>
      </c>
      <c r="S10" s="6" t="s">
        <v>10</v>
      </c>
      <c r="T10" s="48" t="s">
        <v>11</v>
      </c>
    </row>
    <row r="11" spans="1:20" ht="20.149999999999999" customHeight="1" x14ac:dyDescent="0.35">
      <c r="B11" s="52" t="s">
        <v>48</v>
      </c>
      <c r="C11" s="10"/>
      <c r="D11" s="10"/>
      <c r="E11" s="10"/>
      <c r="F11" s="563">
        <v>0.1</v>
      </c>
      <c r="G11" s="564"/>
      <c r="H11" s="9"/>
      <c r="I11" s="74" t="s">
        <v>51</v>
      </c>
      <c r="J11" s="69"/>
      <c r="K11" s="69"/>
      <c r="L11" s="75"/>
      <c r="M11" s="576">
        <f>(100/VLOOKUP(F6-F5,$R$11:$T$60,3,0))*(M6-R6)</f>
        <v>22804.17296178066</v>
      </c>
      <c r="N11" s="576"/>
      <c r="O11" s="45"/>
      <c r="R11" s="48">
        <v>1</v>
      </c>
      <c r="S11" s="47">
        <v>100</v>
      </c>
      <c r="T11" s="47">
        <f>FV((1+$F$10)^(1/12)-1,12,-S11,,1)</f>
        <v>1276.6497908353235</v>
      </c>
    </row>
    <row r="12" spans="1:20" ht="20.149999999999999" customHeight="1" x14ac:dyDescent="0.35">
      <c r="B12" s="9" t="s">
        <v>255</v>
      </c>
      <c r="I12" s="558" t="s">
        <v>256</v>
      </c>
      <c r="J12" s="558"/>
      <c r="R12" s="48">
        <v>2</v>
      </c>
      <c r="S12" s="47">
        <f>S11*(1+10%)</f>
        <v>110.00000000000001</v>
      </c>
      <c r="T12" s="47">
        <f t="shared" ref="T12:T43" si="2">FV((1+$F$10)^(1/12)-1,12,-S12,-T11,1)</f>
        <v>2834.1625356544205</v>
      </c>
    </row>
    <row r="13" spans="1:20" ht="20.149999999999999" customHeight="1" x14ac:dyDescent="0.35">
      <c r="B13" s="100" t="str">
        <f>" "&amp;UPPER('Main Menu'!C29)</f>
        <v xml:space="preserve"> CLIENT NAME</v>
      </c>
      <c r="C13" s="100"/>
      <c r="D13" s="100"/>
      <c r="E13" s="100"/>
      <c r="F13" s="100"/>
      <c r="I13" s="188" t="str">
        <f>" "&amp;UPPER('Main Menu'!L29)</f>
        <v xml:space="preserve"> PARTNER NAME</v>
      </c>
      <c r="J13" s="188"/>
      <c r="K13" s="188"/>
      <c r="L13" s="188"/>
      <c r="M13" s="188"/>
      <c r="R13" s="48">
        <v>3</v>
      </c>
      <c r="S13" s="47">
        <f>S12*(1+10%)</f>
        <v>121.00000000000003</v>
      </c>
      <c r="T13" s="47">
        <f t="shared" si="2"/>
        <v>4719.0082868436966</v>
      </c>
    </row>
    <row r="14" spans="1:20" ht="20.149999999999999" customHeight="1" x14ac:dyDescent="0.35">
      <c r="B14" s="49" t="s">
        <v>353</v>
      </c>
      <c r="C14" s="9"/>
      <c r="J14"/>
      <c r="K14"/>
      <c r="L14"/>
      <c r="M14" s="53" t="str">
        <f ca="1">"Dated: "&amp; TEXT(TODAY(),"DD-MMM-YYYY")</f>
        <v>Dated: 28-Aug-2025</v>
      </c>
      <c r="R14" s="48">
        <v>4</v>
      </c>
      <c r="S14" s="47">
        <f>S13*(1+10%)</f>
        <v>133.10000000000005</v>
      </c>
      <c r="T14" s="47">
        <f t="shared" si="2"/>
        <v>6984.5101528667637</v>
      </c>
    </row>
    <row r="15" spans="1:20" ht="20.149999999999999" customHeight="1" x14ac:dyDescent="0.35">
      <c r="B15" s="567" t="s">
        <v>9</v>
      </c>
      <c r="C15" s="569" t="s">
        <v>34</v>
      </c>
      <c r="D15" s="560" t="s">
        <v>52</v>
      </c>
      <c r="E15" s="560"/>
      <c r="F15" s="560" t="s">
        <v>53</v>
      </c>
      <c r="G15" s="560"/>
      <c r="H15" s="560" t="s">
        <v>54</v>
      </c>
      <c r="I15" s="560"/>
      <c r="J15" s="560" t="s">
        <v>55</v>
      </c>
      <c r="K15" s="560"/>
      <c r="L15" s="560" t="s">
        <v>56</v>
      </c>
      <c r="M15" s="560"/>
      <c r="N15" s="580"/>
      <c r="R15" s="48">
        <v>5</v>
      </c>
      <c r="S15" s="47">
        <f>S14*(1+10%)</f>
        <v>146.41000000000008</v>
      </c>
      <c r="T15" s="47">
        <f t="shared" si="2"/>
        <v>9691.7943299727831</v>
      </c>
    </row>
    <row r="16" spans="1:20" ht="20.149999999999999" customHeight="1" x14ac:dyDescent="0.35">
      <c r="B16" s="568"/>
      <c r="C16" s="570"/>
      <c r="D16" s="561"/>
      <c r="E16" s="561"/>
      <c r="F16" s="561"/>
      <c r="G16" s="561"/>
      <c r="H16" s="561"/>
      <c r="I16" s="561"/>
      <c r="J16" s="561"/>
      <c r="K16" s="561"/>
      <c r="L16" s="561"/>
      <c r="M16" s="561"/>
      <c r="N16" s="581"/>
      <c r="R16" s="48">
        <v>6</v>
      </c>
      <c r="S16" s="47">
        <f t="shared" ref="S16:S60" si="3">S15*(1+10%)</f>
        <v>161.0510000000001</v>
      </c>
      <c r="T16" s="47">
        <f t="shared" si="2"/>
        <v>12910.866904207731</v>
      </c>
    </row>
    <row r="17" spans="2:22" ht="20.149999999999999" customHeight="1" x14ac:dyDescent="0.35">
      <c r="B17" s="14">
        <v>1</v>
      </c>
      <c r="C17" s="14">
        <f>F6+1</f>
        <v>61</v>
      </c>
      <c r="D17" s="556">
        <f>M6</f>
        <v>42487328.691582143</v>
      </c>
      <c r="E17" s="562"/>
      <c r="F17" s="556">
        <f>M5*12</f>
        <v>2321810.6774917077</v>
      </c>
      <c r="G17" s="556"/>
      <c r="H17" s="556">
        <f>M5</f>
        <v>193484.22312430898</v>
      </c>
      <c r="I17" s="562"/>
      <c r="J17" s="556">
        <f>D17-F17</f>
        <v>40165518.014090434</v>
      </c>
      <c r="K17" s="562"/>
      <c r="L17" s="556">
        <f>J17*(1+$F$11)</f>
        <v>44182069.815499477</v>
      </c>
      <c r="M17" s="556"/>
      <c r="N17" s="556"/>
      <c r="R17" s="48">
        <v>7</v>
      </c>
      <c r="S17" s="47">
        <f t="shared" si="3"/>
        <v>177.15610000000012</v>
      </c>
      <c r="T17" s="47">
        <f t="shared" si="2"/>
        <v>16721.833912814694</v>
      </c>
      <c r="V17" s="6" t="b">
        <f>C17=""</f>
        <v>0</v>
      </c>
    </row>
    <row r="18" spans="2:22" s="9" customFormat="1" ht="20.149999999999999" customHeight="1" x14ac:dyDescent="0.35">
      <c r="B18" s="37">
        <f>IF(C18="","",B17+1)</f>
        <v>2</v>
      </c>
      <c r="C18" s="37">
        <f>IF(OR(C17=$F$7,C17=""),"",C17+1)</f>
        <v>62</v>
      </c>
      <c r="D18" s="557">
        <f>IF(C18="","",L17)</f>
        <v>44182069.815499477</v>
      </c>
      <c r="E18" s="557"/>
      <c r="F18" s="555">
        <f t="shared" ref="F18" si="4">IF(C18="","",F17*(1+$F$9))</f>
        <v>2484337.4249161272</v>
      </c>
      <c r="G18" s="555"/>
      <c r="H18" s="557">
        <f>IF(C18="","",F18/12)</f>
        <v>207028.11874301059</v>
      </c>
      <c r="I18" s="557"/>
      <c r="J18" s="557">
        <f>IF(C18="","",ABS(D18-F18))</f>
        <v>41697732.390583351</v>
      </c>
      <c r="K18" s="557"/>
      <c r="L18" s="557">
        <f t="shared" ref="L18:L49" si="5">IF(C18="","",J18*(1+$F$11))</f>
        <v>45867505.629641689</v>
      </c>
      <c r="M18" s="557"/>
      <c r="N18" s="557"/>
      <c r="R18" s="48">
        <v>8</v>
      </c>
      <c r="S18" s="47">
        <f t="shared" si="3"/>
        <v>194.87171000000015</v>
      </c>
      <c r="T18" s="47">
        <f t="shared" si="2"/>
        <v>21216.283260464705</v>
      </c>
      <c r="V18" s="6" t="b">
        <f t="shared" ref="V18:V67" si="6">C18=""</f>
        <v>0</v>
      </c>
    </row>
    <row r="19" spans="2:22" s="9" customFormat="1" ht="20.149999999999999" customHeight="1" x14ac:dyDescent="0.35">
      <c r="B19" s="14">
        <f t="shared" ref="B19:B67" si="7">IF(C19="","",B18+1)</f>
        <v>3</v>
      </c>
      <c r="C19" s="14">
        <f t="shared" ref="C19:C67" si="8">IF(OR(C18=$F$7,C18=""),"",C18+1)</f>
        <v>63</v>
      </c>
      <c r="D19" s="388">
        <f t="shared" ref="D19:D67" si="9">IF(C19="","",L18)</f>
        <v>45867505.629641689</v>
      </c>
      <c r="E19" s="388"/>
      <c r="F19" s="556">
        <f t="shared" ref="F19:F67" si="10">IF(C19="","",F18*(1+$F$9))</f>
        <v>2658241.0446602562</v>
      </c>
      <c r="G19" s="556"/>
      <c r="H19" s="388">
        <f t="shared" ref="H19:H67" si="11">IF(C19="","",F19/12)</f>
        <v>221520.08705502134</v>
      </c>
      <c r="I19" s="388"/>
      <c r="J19" s="391">
        <f t="shared" ref="J19:J66" si="12">IF(C19="","",ABS(D19-F19))</f>
        <v>43209264.584981434</v>
      </c>
      <c r="K19" s="392"/>
      <c r="L19" s="388">
        <f t="shared" si="5"/>
        <v>47530191.043479584</v>
      </c>
      <c r="M19" s="388"/>
      <c r="N19" s="388"/>
      <c r="R19" s="48">
        <v>9</v>
      </c>
      <c r="S19" s="47">
        <f t="shared" si="3"/>
        <v>214.3588810000002</v>
      </c>
      <c r="T19" s="47">
        <f t="shared" si="2"/>
        <v>26498.849457643944</v>
      </c>
      <c r="V19" s="6" t="b">
        <f t="shared" si="6"/>
        <v>0</v>
      </c>
    </row>
    <row r="20" spans="2:22" s="9" customFormat="1" ht="20.149999999999999" customHeight="1" x14ac:dyDescent="0.35">
      <c r="B20" s="37">
        <f t="shared" si="7"/>
        <v>4</v>
      </c>
      <c r="C20" s="37">
        <f t="shared" si="8"/>
        <v>64</v>
      </c>
      <c r="D20" s="557">
        <f t="shared" si="9"/>
        <v>47530191.043479584</v>
      </c>
      <c r="E20" s="557"/>
      <c r="F20" s="555">
        <f t="shared" si="10"/>
        <v>2844317.9177864743</v>
      </c>
      <c r="G20" s="555"/>
      <c r="H20" s="557">
        <f t="shared" si="11"/>
        <v>237026.49314887286</v>
      </c>
      <c r="I20" s="557"/>
      <c r="J20" s="358">
        <f t="shared" si="12"/>
        <v>44685873.125693113</v>
      </c>
      <c r="K20" s="559"/>
      <c r="L20" s="557">
        <f t="shared" si="5"/>
        <v>49154460.438262425</v>
      </c>
      <c r="M20" s="557"/>
      <c r="N20" s="557"/>
      <c r="R20" s="48">
        <v>10</v>
      </c>
      <c r="S20" s="47">
        <f t="shared" si="3"/>
        <v>235.79476910000022</v>
      </c>
      <c r="T20" s="47">
        <f t="shared" si="2"/>
        <v>32688.984819077043</v>
      </c>
      <c r="V20" s="6" t="b">
        <f t="shared" si="6"/>
        <v>0</v>
      </c>
    </row>
    <row r="21" spans="2:22" s="9" customFormat="1" ht="20.149999999999999" customHeight="1" x14ac:dyDescent="0.35">
      <c r="B21" s="14">
        <f t="shared" si="7"/>
        <v>5</v>
      </c>
      <c r="C21" s="14">
        <f t="shared" si="8"/>
        <v>65</v>
      </c>
      <c r="D21" s="388">
        <f t="shared" si="9"/>
        <v>49154460.438262425</v>
      </c>
      <c r="E21" s="388"/>
      <c r="F21" s="556">
        <f t="shared" si="10"/>
        <v>3043420.1720315279</v>
      </c>
      <c r="G21" s="556"/>
      <c r="H21" s="388">
        <f t="shared" si="11"/>
        <v>253618.34766929399</v>
      </c>
      <c r="I21" s="388"/>
      <c r="J21" s="391">
        <f t="shared" si="12"/>
        <v>46111040.266230896</v>
      </c>
      <c r="K21" s="392"/>
      <c r="L21" s="388">
        <f t="shared" si="5"/>
        <v>50722144.292853989</v>
      </c>
      <c r="M21" s="388"/>
      <c r="N21" s="388"/>
      <c r="R21" s="48">
        <v>11</v>
      </c>
      <c r="S21" s="47">
        <f t="shared" si="3"/>
        <v>259.37424601000026</v>
      </c>
      <c r="T21" s="47">
        <f t="shared" si="2"/>
        <v>39922.9637665337</v>
      </c>
      <c r="V21" s="6" t="b">
        <f t="shared" si="6"/>
        <v>0</v>
      </c>
    </row>
    <row r="22" spans="2:22" s="9" customFormat="1" ht="20.149999999999999" customHeight="1" x14ac:dyDescent="0.35">
      <c r="B22" s="37">
        <f t="shared" si="7"/>
        <v>6</v>
      </c>
      <c r="C22" s="37">
        <f t="shared" si="8"/>
        <v>66</v>
      </c>
      <c r="D22" s="557">
        <f t="shared" si="9"/>
        <v>50722144.292853989</v>
      </c>
      <c r="E22" s="557"/>
      <c r="F22" s="555">
        <f t="shared" si="10"/>
        <v>3256459.5840737349</v>
      </c>
      <c r="G22" s="555"/>
      <c r="H22" s="557">
        <f t="shared" si="11"/>
        <v>271371.63200614456</v>
      </c>
      <c r="I22" s="557"/>
      <c r="J22" s="358">
        <f t="shared" si="12"/>
        <v>47465684.708780251</v>
      </c>
      <c r="K22" s="559"/>
      <c r="L22" s="557">
        <f t="shared" si="5"/>
        <v>52212253.179658279</v>
      </c>
      <c r="M22" s="557"/>
      <c r="N22" s="557"/>
      <c r="R22" s="48">
        <v>12</v>
      </c>
      <c r="S22" s="47">
        <f t="shared" si="3"/>
        <v>285.3116706110003</v>
      </c>
      <c r="T22" s="47">
        <f t="shared" si="2"/>
        <v>48356.150264601907</v>
      </c>
      <c r="V22" s="6" t="b">
        <f t="shared" si="6"/>
        <v>0</v>
      </c>
    </row>
    <row r="23" spans="2:22" s="9" customFormat="1" ht="20.149999999999999" customHeight="1" x14ac:dyDescent="0.35">
      <c r="B23" s="14">
        <f t="shared" si="7"/>
        <v>7</v>
      </c>
      <c r="C23" s="14">
        <f t="shared" si="8"/>
        <v>67</v>
      </c>
      <c r="D23" s="388">
        <f t="shared" si="9"/>
        <v>52212253.179658279</v>
      </c>
      <c r="E23" s="388"/>
      <c r="F23" s="556">
        <f t="shared" si="10"/>
        <v>3484411.7549588964</v>
      </c>
      <c r="G23" s="556"/>
      <c r="H23" s="388">
        <f t="shared" si="11"/>
        <v>290367.6462465747</v>
      </c>
      <c r="I23" s="388"/>
      <c r="J23" s="391">
        <f t="shared" si="12"/>
        <v>48727841.424699381</v>
      </c>
      <c r="K23" s="392"/>
      <c r="L23" s="388">
        <f t="shared" si="5"/>
        <v>53600625.567169324</v>
      </c>
      <c r="M23" s="388"/>
      <c r="N23" s="388"/>
      <c r="R23" s="48">
        <v>13</v>
      </c>
      <c r="S23" s="47">
        <f t="shared" si="3"/>
        <v>313.84283767210036</v>
      </c>
      <c r="T23" s="47">
        <f t="shared" si="2"/>
        <v>58165.562227046721</v>
      </c>
      <c r="V23" s="6" t="b">
        <f t="shared" si="6"/>
        <v>0</v>
      </c>
    </row>
    <row r="24" spans="2:22" s="9" customFormat="1" ht="20.149999999999999" customHeight="1" x14ac:dyDescent="0.35">
      <c r="B24" s="37">
        <f t="shared" si="7"/>
        <v>8</v>
      </c>
      <c r="C24" s="37">
        <f t="shared" si="8"/>
        <v>68</v>
      </c>
      <c r="D24" s="557">
        <f t="shared" si="9"/>
        <v>53600625.567169324</v>
      </c>
      <c r="E24" s="557"/>
      <c r="F24" s="555">
        <f t="shared" si="10"/>
        <v>3728320.5778060192</v>
      </c>
      <c r="G24" s="555"/>
      <c r="H24" s="557">
        <f t="shared" si="11"/>
        <v>310693.38148383494</v>
      </c>
      <c r="I24" s="557"/>
      <c r="J24" s="358">
        <f t="shared" si="12"/>
        <v>49872304.989363305</v>
      </c>
      <c r="K24" s="559"/>
      <c r="L24" s="557">
        <f t="shared" si="5"/>
        <v>54859535.488299638</v>
      </c>
      <c r="M24" s="557"/>
      <c r="N24" s="557"/>
      <c r="R24" s="48">
        <v>14</v>
      </c>
      <c r="S24" s="47">
        <f t="shared" si="3"/>
        <v>345.22712143931039</v>
      </c>
      <c r="T24" s="47">
        <f t="shared" si="2"/>
        <v>69552.771018054176</v>
      </c>
      <c r="V24" s="6" t="b">
        <f t="shared" si="6"/>
        <v>0</v>
      </c>
    </row>
    <row r="25" spans="2:22" s="9" customFormat="1" ht="20.149999999999999" customHeight="1" x14ac:dyDescent="0.35">
      <c r="B25" s="14">
        <f t="shared" si="7"/>
        <v>9</v>
      </c>
      <c r="C25" s="14">
        <f t="shared" si="8"/>
        <v>69</v>
      </c>
      <c r="D25" s="388">
        <f t="shared" si="9"/>
        <v>54859535.488299638</v>
      </c>
      <c r="E25" s="388"/>
      <c r="F25" s="556">
        <f t="shared" si="10"/>
        <v>3989303.0182524407</v>
      </c>
      <c r="G25" s="556"/>
      <c r="H25" s="388">
        <f t="shared" si="11"/>
        <v>332441.91818770341</v>
      </c>
      <c r="I25" s="388"/>
      <c r="J25" s="391">
        <f t="shared" si="12"/>
        <v>50870232.470047198</v>
      </c>
      <c r="K25" s="392"/>
      <c r="L25" s="388">
        <f t="shared" si="5"/>
        <v>55957255.717051923</v>
      </c>
      <c r="M25" s="388"/>
      <c r="N25" s="388"/>
      <c r="R25" s="48">
        <v>15</v>
      </c>
      <c r="S25" s="47">
        <f t="shared" si="3"/>
        <v>379.74983358324147</v>
      </c>
      <c r="T25" s="47">
        <f t="shared" si="2"/>
        <v>82747.178996358722</v>
      </c>
      <c r="V25" s="6" t="b">
        <f t="shared" si="6"/>
        <v>0</v>
      </c>
    </row>
    <row r="26" spans="2:22" s="9" customFormat="1" ht="20.149999999999999" customHeight="1" x14ac:dyDescent="0.35">
      <c r="B26" s="37">
        <f t="shared" si="7"/>
        <v>10</v>
      </c>
      <c r="C26" s="37">
        <f t="shared" si="8"/>
        <v>70</v>
      </c>
      <c r="D26" s="557">
        <f t="shared" si="9"/>
        <v>55957255.717051923</v>
      </c>
      <c r="E26" s="557"/>
      <c r="F26" s="555">
        <f t="shared" si="10"/>
        <v>4268554.2295301119</v>
      </c>
      <c r="G26" s="555"/>
      <c r="H26" s="557">
        <f t="shared" si="11"/>
        <v>355712.85246084264</v>
      </c>
      <c r="I26" s="557"/>
      <c r="J26" s="358">
        <f t="shared" si="12"/>
        <v>51688701.487521812</v>
      </c>
      <c r="K26" s="559"/>
      <c r="L26" s="557">
        <f t="shared" si="5"/>
        <v>56857571.636273995</v>
      </c>
      <c r="M26" s="557"/>
      <c r="N26" s="557"/>
      <c r="R26" s="48">
        <v>16</v>
      </c>
      <c r="S26" s="47">
        <f t="shared" si="3"/>
        <v>417.72481694156562</v>
      </c>
      <c r="T26" s="47">
        <f t="shared" si="2"/>
        <v>98009.723477673615</v>
      </c>
      <c r="V26" s="6" t="b">
        <f t="shared" si="6"/>
        <v>0</v>
      </c>
    </row>
    <row r="27" spans="2:22" s="9" customFormat="1" ht="20.149999999999999" customHeight="1" x14ac:dyDescent="0.35">
      <c r="B27" s="14">
        <f t="shared" si="7"/>
        <v>11</v>
      </c>
      <c r="C27" s="14">
        <f t="shared" si="8"/>
        <v>71</v>
      </c>
      <c r="D27" s="388">
        <f t="shared" si="9"/>
        <v>56857571.636273995</v>
      </c>
      <c r="E27" s="388"/>
      <c r="F27" s="556">
        <f t="shared" si="10"/>
        <v>4567353.0255972203</v>
      </c>
      <c r="G27" s="556"/>
      <c r="H27" s="388">
        <f t="shared" si="11"/>
        <v>380612.75213310169</v>
      </c>
      <c r="I27" s="388"/>
      <c r="J27" s="391">
        <f t="shared" si="12"/>
        <v>52290218.610676773</v>
      </c>
      <c r="K27" s="392"/>
      <c r="L27" s="388">
        <f t="shared" si="5"/>
        <v>57519240.471744455</v>
      </c>
      <c r="M27" s="388"/>
      <c r="N27" s="388"/>
      <c r="R27" s="48">
        <v>17</v>
      </c>
      <c r="S27" s="47">
        <f t="shared" si="3"/>
        <v>459.49729863572225</v>
      </c>
      <c r="T27" s="47">
        <f t="shared" si="2"/>
        <v>115637.0615969215</v>
      </c>
      <c r="V27" s="6" t="b">
        <f t="shared" si="6"/>
        <v>0</v>
      </c>
    </row>
    <row r="28" spans="2:22" s="9" customFormat="1" ht="20.149999999999999" customHeight="1" x14ac:dyDescent="0.35">
      <c r="B28" s="37">
        <f t="shared" si="7"/>
        <v>12</v>
      </c>
      <c r="C28" s="37">
        <f t="shared" si="8"/>
        <v>72</v>
      </c>
      <c r="D28" s="557">
        <f t="shared" si="9"/>
        <v>57519240.471744455</v>
      </c>
      <c r="E28" s="557"/>
      <c r="F28" s="555">
        <f t="shared" si="10"/>
        <v>4887067.7373890262</v>
      </c>
      <c r="G28" s="555"/>
      <c r="H28" s="557">
        <f t="shared" si="11"/>
        <v>407255.64478241885</v>
      </c>
      <c r="I28" s="557"/>
      <c r="J28" s="358">
        <f t="shared" si="12"/>
        <v>52632172.734355427</v>
      </c>
      <c r="K28" s="559"/>
      <c r="L28" s="557">
        <f t="shared" si="5"/>
        <v>57895390.007790975</v>
      </c>
      <c r="M28" s="557"/>
      <c r="N28" s="557"/>
      <c r="R28" s="48">
        <v>18</v>
      </c>
      <c r="S28" s="47">
        <f t="shared" si="3"/>
        <v>505.4470284992945</v>
      </c>
      <c r="T28" s="47">
        <f t="shared" si="2"/>
        <v>135966.29742067185</v>
      </c>
      <c r="V28" s="6" t="b">
        <f t="shared" si="6"/>
        <v>0</v>
      </c>
    </row>
    <row r="29" spans="2:22" s="9" customFormat="1" ht="20.149999999999999" customHeight="1" x14ac:dyDescent="0.35">
      <c r="B29" s="14">
        <f t="shared" si="7"/>
        <v>13</v>
      </c>
      <c r="C29" s="14">
        <f t="shared" si="8"/>
        <v>73</v>
      </c>
      <c r="D29" s="388">
        <f t="shared" si="9"/>
        <v>57895390.007790975</v>
      </c>
      <c r="E29" s="388"/>
      <c r="F29" s="556">
        <f t="shared" si="10"/>
        <v>5229162.4790062588</v>
      </c>
      <c r="G29" s="556"/>
      <c r="H29" s="388">
        <f t="shared" si="11"/>
        <v>435763.53991718823</v>
      </c>
      <c r="I29" s="388"/>
      <c r="J29" s="391">
        <f t="shared" si="12"/>
        <v>52666227.528784715</v>
      </c>
      <c r="K29" s="392"/>
      <c r="L29" s="388">
        <f t="shared" si="5"/>
        <v>57932850.281663194</v>
      </c>
      <c r="M29" s="388"/>
      <c r="N29" s="388"/>
      <c r="R29" s="48">
        <v>19</v>
      </c>
      <c r="S29" s="47">
        <f t="shared" si="3"/>
        <v>555.99173134922398</v>
      </c>
      <c r="T29" s="47">
        <f t="shared" si="2"/>
        <v>159380.32038648424</v>
      </c>
      <c r="V29" s="6" t="b">
        <f t="shared" si="6"/>
        <v>0</v>
      </c>
    </row>
    <row r="30" spans="2:22" s="9" customFormat="1" ht="20.149999999999999" customHeight="1" x14ac:dyDescent="0.35">
      <c r="B30" s="37">
        <f t="shared" si="7"/>
        <v>14</v>
      </c>
      <c r="C30" s="37">
        <f t="shared" si="8"/>
        <v>74</v>
      </c>
      <c r="D30" s="557">
        <f t="shared" si="9"/>
        <v>57932850.281663194</v>
      </c>
      <c r="E30" s="557"/>
      <c r="F30" s="555">
        <f t="shared" si="10"/>
        <v>5595203.8525366969</v>
      </c>
      <c r="G30" s="555"/>
      <c r="H30" s="557">
        <f t="shared" si="11"/>
        <v>466266.98771139141</v>
      </c>
      <c r="I30" s="557"/>
      <c r="J30" s="358">
        <f t="shared" si="12"/>
        <v>52337646.429126501</v>
      </c>
      <c r="K30" s="559"/>
      <c r="L30" s="557">
        <f t="shared" si="5"/>
        <v>57571411.072039157</v>
      </c>
      <c r="M30" s="557"/>
      <c r="N30" s="557"/>
      <c r="R30" s="48">
        <v>20</v>
      </c>
      <c r="S30" s="47">
        <f t="shared" si="3"/>
        <v>611.59090448414645</v>
      </c>
      <c r="T30" s="47">
        <f t="shared" si="2"/>
        <v>186313.83283572731</v>
      </c>
      <c r="V30" s="6" t="b">
        <f t="shared" si="6"/>
        <v>0</v>
      </c>
    </row>
    <row r="31" spans="2:22" s="9" customFormat="1" ht="20.149999999999999" customHeight="1" x14ac:dyDescent="0.35">
      <c r="B31" s="14">
        <f t="shared" si="7"/>
        <v>15</v>
      </c>
      <c r="C31" s="14">
        <f t="shared" si="8"/>
        <v>75</v>
      </c>
      <c r="D31" s="388">
        <f t="shared" si="9"/>
        <v>57571411.072039157</v>
      </c>
      <c r="E31" s="388"/>
      <c r="F31" s="556">
        <f t="shared" si="10"/>
        <v>5986868.1222142661</v>
      </c>
      <c r="G31" s="556"/>
      <c r="H31" s="388">
        <f t="shared" si="11"/>
        <v>498905.67685118882</v>
      </c>
      <c r="I31" s="388"/>
      <c r="J31" s="391">
        <f t="shared" si="12"/>
        <v>51584542.949824892</v>
      </c>
      <c r="K31" s="392"/>
      <c r="L31" s="388">
        <f t="shared" si="5"/>
        <v>56742997.244807385</v>
      </c>
      <c r="M31" s="388"/>
      <c r="N31" s="388"/>
      <c r="R31" s="48">
        <v>21</v>
      </c>
      <c r="S31" s="47">
        <f t="shared" si="3"/>
        <v>672.74999493256109</v>
      </c>
      <c r="T31" s="47">
        <f t="shared" si="2"/>
        <v>217260.15417916607</v>
      </c>
      <c r="V31" s="6" t="b">
        <f t="shared" si="6"/>
        <v>0</v>
      </c>
    </row>
    <row r="32" spans="2:22" ht="20.149999999999999" customHeight="1" x14ac:dyDescent="0.35">
      <c r="B32" s="37">
        <f t="shared" si="7"/>
        <v>16</v>
      </c>
      <c r="C32" s="37">
        <f t="shared" si="8"/>
        <v>76</v>
      </c>
      <c r="D32" s="557">
        <f t="shared" si="9"/>
        <v>56742997.244807385</v>
      </c>
      <c r="E32" s="557"/>
      <c r="F32" s="555">
        <f t="shared" si="10"/>
        <v>6405948.8907692647</v>
      </c>
      <c r="G32" s="555"/>
      <c r="H32" s="557">
        <f t="shared" si="11"/>
        <v>533829.07423077209</v>
      </c>
      <c r="I32" s="557"/>
      <c r="J32" s="358">
        <f t="shared" si="12"/>
        <v>50337048.354038119</v>
      </c>
      <c r="K32" s="559"/>
      <c r="L32" s="557">
        <f t="shared" si="5"/>
        <v>55370753.189441934</v>
      </c>
      <c r="M32" s="557"/>
      <c r="N32" s="557"/>
      <c r="R32" s="48">
        <v>22</v>
      </c>
      <c r="S32" s="47">
        <f t="shared" si="3"/>
        <v>740.02499442581723</v>
      </c>
      <c r="T32" s="47">
        <f t="shared" si="2"/>
        <v>252778.90022413261</v>
      </c>
      <c r="V32" s="6" t="b">
        <f t="shared" si="6"/>
        <v>0</v>
      </c>
    </row>
    <row r="33" spans="2:22" ht="20.149999999999999" customHeight="1" x14ac:dyDescent="0.35">
      <c r="B33" s="14">
        <f t="shared" si="7"/>
        <v>17</v>
      </c>
      <c r="C33" s="14">
        <f t="shared" si="8"/>
        <v>77</v>
      </c>
      <c r="D33" s="388">
        <f t="shared" si="9"/>
        <v>55370753.189441934</v>
      </c>
      <c r="E33" s="388"/>
      <c r="F33" s="556">
        <f t="shared" si="10"/>
        <v>6854365.3131231135</v>
      </c>
      <c r="G33" s="556"/>
      <c r="H33" s="388">
        <f t="shared" si="11"/>
        <v>571197.10942692612</v>
      </c>
      <c r="I33" s="388"/>
      <c r="J33" s="391">
        <f t="shared" si="12"/>
        <v>48516387.87631882</v>
      </c>
      <c r="K33" s="392"/>
      <c r="L33" s="388">
        <f t="shared" si="5"/>
        <v>53368026.663950704</v>
      </c>
      <c r="M33" s="388"/>
      <c r="N33" s="388"/>
      <c r="R33" s="48">
        <v>23</v>
      </c>
      <c r="S33" s="47">
        <f t="shared" si="3"/>
        <v>814.02749386839901</v>
      </c>
      <c r="T33" s="47">
        <f t="shared" si="2"/>
        <v>293504.64854884183</v>
      </c>
      <c r="V33" s="6" t="b">
        <f t="shared" si="6"/>
        <v>0</v>
      </c>
    </row>
    <row r="34" spans="2:22" ht="20.149999999999999" customHeight="1" x14ac:dyDescent="0.35">
      <c r="B34" s="37">
        <f t="shared" si="7"/>
        <v>18</v>
      </c>
      <c r="C34" s="37">
        <f t="shared" si="8"/>
        <v>78</v>
      </c>
      <c r="D34" s="557">
        <f t="shared" si="9"/>
        <v>53368026.663950704</v>
      </c>
      <c r="E34" s="557"/>
      <c r="F34" s="555">
        <f t="shared" si="10"/>
        <v>7334170.8850417314</v>
      </c>
      <c r="G34" s="555"/>
      <c r="H34" s="557">
        <f t="shared" si="11"/>
        <v>611180.90708681091</v>
      </c>
      <c r="I34" s="557"/>
      <c r="J34" s="358">
        <f t="shared" si="12"/>
        <v>46033855.778908975</v>
      </c>
      <c r="K34" s="559"/>
      <c r="L34" s="557">
        <f t="shared" si="5"/>
        <v>50637241.356799878</v>
      </c>
      <c r="M34" s="557"/>
      <c r="N34" s="557"/>
      <c r="R34" s="48">
        <v>24</v>
      </c>
      <c r="S34" s="47">
        <f t="shared" si="3"/>
        <v>895.43024325523902</v>
      </c>
      <c r="T34" s="47">
        <f t="shared" si="2"/>
        <v>340156.71470229753</v>
      </c>
      <c r="V34" s="6" t="b">
        <f t="shared" si="6"/>
        <v>0</v>
      </c>
    </row>
    <row r="35" spans="2:22" ht="20.149999999999999" customHeight="1" x14ac:dyDescent="0.35">
      <c r="B35" s="14">
        <f t="shared" si="7"/>
        <v>19</v>
      </c>
      <c r="C35" s="14">
        <f t="shared" si="8"/>
        <v>79</v>
      </c>
      <c r="D35" s="388">
        <f t="shared" si="9"/>
        <v>50637241.356799878</v>
      </c>
      <c r="E35" s="388"/>
      <c r="F35" s="556">
        <f t="shared" si="10"/>
        <v>7847562.8469946533</v>
      </c>
      <c r="G35" s="556"/>
      <c r="H35" s="388">
        <f t="shared" si="11"/>
        <v>653963.57058288774</v>
      </c>
      <c r="I35" s="388"/>
      <c r="J35" s="391">
        <f t="shared" si="12"/>
        <v>42789678.509805225</v>
      </c>
      <c r="K35" s="392"/>
      <c r="L35" s="388">
        <f t="shared" si="5"/>
        <v>47068646.360785753</v>
      </c>
      <c r="M35" s="388"/>
      <c r="N35" s="388"/>
      <c r="R35" s="48">
        <v>25</v>
      </c>
      <c r="S35" s="47">
        <f t="shared" si="3"/>
        <v>984.97326758076304</v>
      </c>
      <c r="T35" s="47">
        <f t="shared" si="2"/>
        <v>393550.17962692736</v>
      </c>
      <c r="V35" s="6" t="b">
        <f t="shared" si="6"/>
        <v>0</v>
      </c>
    </row>
    <row r="36" spans="2:22" ht="20.149999999999999" customHeight="1" x14ac:dyDescent="0.35">
      <c r="B36" s="37">
        <f t="shared" si="7"/>
        <v>20</v>
      </c>
      <c r="C36" s="37">
        <f t="shared" si="8"/>
        <v>80</v>
      </c>
      <c r="D36" s="557">
        <f t="shared" si="9"/>
        <v>47068646.360785753</v>
      </c>
      <c r="E36" s="557"/>
      <c r="F36" s="555">
        <f t="shared" si="10"/>
        <v>8396892.24628428</v>
      </c>
      <c r="G36" s="555"/>
      <c r="H36" s="557">
        <f t="shared" si="11"/>
        <v>699741.02052369004</v>
      </c>
      <c r="I36" s="557"/>
      <c r="J36" s="358">
        <f t="shared" si="12"/>
        <v>38671754.114501476</v>
      </c>
      <c r="K36" s="559"/>
      <c r="L36" s="557">
        <f t="shared" si="5"/>
        <v>42538929.525951624</v>
      </c>
      <c r="M36" s="557"/>
      <c r="N36" s="557"/>
      <c r="R36" s="48">
        <v>26</v>
      </c>
      <c r="S36" s="47">
        <f t="shared" si="3"/>
        <v>1083.4705943388394</v>
      </c>
      <c r="T36" s="47">
        <f t="shared" si="2"/>
        <v>454608.32625854824</v>
      </c>
      <c r="V36" s="6" t="b">
        <f t="shared" si="6"/>
        <v>0</v>
      </c>
    </row>
    <row r="37" spans="2:22" ht="20.149999999999999" customHeight="1" x14ac:dyDescent="0.35">
      <c r="B37" s="14">
        <f t="shared" si="7"/>
        <v>21</v>
      </c>
      <c r="C37" s="14">
        <f t="shared" si="8"/>
        <v>81</v>
      </c>
      <c r="D37" s="388">
        <f t="shared" si="9"/>
        <v>42538929.525951624</v>
      </c>
      <c r="E37" s="388"/>
      <c r="F37" s="556">
        <f t="shared" si="10"/>
        <v>8984674.7035241798</v>
      </c>
      <c r="G37" s="556"/>
      <c r="H37" s="388">
        <f t="shared" si="11"/>
        <v>748722.89196034835</v>
      </c>
      <c r="I37" s="388"/>
      <c r="J37" s="391">
        <f t="shared" si="12"/>
        <v>33554254.822427444</v>
      </c>
      <c r="K37" s="392"/>
      <c r="L37" s="388">
        <f t="shared" si="5"/>
        <v>36909680.304670192</v>
      </c>
      <c r="M37" s="388"/>
      <c r="N37" s="388"/>
      <c r="R37" s="48">
        <v>27</v>
      </c>
      <c r="S37" s="47">
        <f t="shared" si="3"/>
        <v>1191.8176537727234</v>
      </c>
      <c r="T37" s="47">
        <f t="shared" si="2"/>
        <v>524376.66299360257</v>
      </c>
      <c r="V37" s="6" t="b">
        <f t="shared" si="6"/>
        <v>0</v>
      </c>
    </row>
    <row r="38" spans="2:22" ht="20.149999999999999" customHeight="1" x14ac:dyDescent="0.35">
      <c r="B38" s="37">
        <f t="shared" si="7"/>
        <v>22</v>
      </c>
      <c r="C38" s="37">
        <f t="shared" si="8"/>
        <v>82</v>
      </c>
      <c r="D38" s="557">
        <f t="shared" si="9"/>
        <v>36909680.304670192</v>
      </c>
      <c r="E38" s="557"/>
      <c r="F38" s="555">
        <f t="shared" si="10"/>
        <v>9613601.9327708725</v>
      </c>
      <c r="G38" s="555"/>
      <c r="H38" s="557">
        <f t="shared" si="11"/>
        <v>801133.49439757271</v>
      </c>
      <c r="I38" s="557"/>
      <c r="J38" s="358">
        <f t="shared" si="12"/>
        <v>27296078.371899322</v>
      </c>
      <c r="K38" s="559"/>
      <c r="L38" s="557">
        <f t="shared" si="5"/>
        <v>30025686.209089257</v>
      </c>
      <c r="M38" s="557"/>
      <c r="N38" s="557"/>
      <c r="R38" s="48">
        <v>28</v>
      </c>
      <c r="S38" s="47">
        <f t="shared" si="3"/>
        <v>1310.9994191499959</v>
      </c>
      <c r="T38" s="47">
        <f t="shared" si="2"/>
        <v>604038.73389526631</v>
      </c>
      <c r="V38" s="6" t="b">
        <f t="shared" si="6"/>
        <v>0</v>
      </c>
    </row>
    <row r="39" spans="2:22" ht="20.149999999999999" customHeight="1" x14ac:dyDescent="0.35">
      <c r="B39" s="14">
        <f t="shared" si="7"/>
        <v>23</v>
      </c>
      <c r="C39" s="14">
        <f t="shared" si="8"/>
        <v>83</v>
      </c>
      <c r="D39" s="388">
        <f t="shared" si="9"/>
        <v>30025686.209089257</v>
      </c>
      <c r="E39" s="388"/>
      <c r="F39" s="556">
        <f t="shared" si="10"/>
        <v>10286554.068064835</v>
      </c>
      <c r="G39" s="556"/>
      <c r="H39" s="388">
        <f t="shared" si="11"/>
        <v>857212.83900540287</v>
      </c>
      <c r="I39" s="388"/>
      <c r="J39" s="391">
        <f t="shared" si="12"/>
        <v>19739132.141024422</v>
      </c>
      <c r="K39" s="392"/>
      <c r="L39" s="388">
        <f t="shared" si="5"/>
        <v>21713045.355126865</v>
      </c>
      <c r="M39" s="388"/>
      <c r="N39" s="388"/>
      <c r="R39" s="48">
        <v>29</v>
      </c>
      <c r="S39" s="47">
        <f t="shared" si="3"/>
        <v>1442.0993610649957</v>
      </c>
      <c r="T39" s="47">
        <f t="shared" si="2"/>
        <v>694933.94043937291</v>
      </c>
      <c r="V39" s="6" t="b">
        <f t="shared" si="6"/>
        <v>0</v>
      </c>
    </row>
    <row r="40" spans="2:22" ht="20.149999999999999" customHeight="1" x14ac:dyDescent="0.35">
      <c r="B40" s="37">
        <f t="shared" si="7"/>
        <v>24</v>
      </c>
      <c r="C40" s="37">
        <f t="shared" si="8"/>
        <v>84</v>
      </c>
      <c r="D40" s="557">
        <f t="shared" si="9"/>
        <v>21713045.355126865</v>
      </c>
      <c r="E40" s="557"/>
      <c r="F40" s="555">
        <f t="shared" si="10"/>
        <v>11006612.852829374</v>
      </c>
      <c r="G40" s="555"/>
      <c r="H40" s="557">
        <f t="shared" si="11"/>
        <v>917217.73773578124</v>
      </c>
      <c r="I40" s="557"/>
      <c r="J40" s="358">
        <f t="shared" si="12"/>
        <v>10706432.502297491</v>
      </c>
      <c r="K40" s="559"/>
      <c r="L40" s="557">
        <f t="shared" si="5"/>
        <v>11777075.752527241</v>
      </c>
      <c r="M40" s="557"/>
      <c r="N40" s="557"/>
      <c r="R40" s="48">
        <v>30</v>
      </c>
      <c r="S40" s="47">
        <f t="shared" si="3"/>
        <v>1586.3092971714955</v>
      </c>
      <c r="T40" s="47">
        <f t="shared" si="2"/>
        <v>798577.62761643983</v>
      </c>
      <c r="V40" s="6" t="b">
        <f t="shared" si="6"/>
        <v>0</v>
      </c>
    </row>
    <row r="41" spans="2:22" ht="20.149999999999999" customHeight="1" x14ac:dyDescent="0.35">
      <c r="B41" s="14">
        <f t="shared" si="7"/>
        <v>25</v>
      </c>
      <c r="C41" s="14">
        <f t="shared" si="8"/>
        <v>85</v>
      </c>
      <c r="D41" s="388">
        <f t="shared" si="9"/>
        <v>11777075.752527241</v>
      </c>
      <c r="E41" s="388"/>
      <c r="F41" s="556">
        <f t="shared" si="10"/>
        <v>11777075.752527431</v>
      </c>
      <c r="G41" s="556"/>
      <c r="H41" s="388">
        <f t="shared" si="11"/>
        <v>981422.97937728593</v>
      </c>
      <c r="I41" s="388"/>
      <c r="J41" s="391">
        <f t="shared" si="12"/>
        <v>1.8998980522155762E-7</v>
      </c>
      <c r="K41" s="392"/>
      <c r="L41" s="388">
        <f t="shared" si="5"/>
        <v>2.0898878574371338E-7</v>
      </c>
      <c r="M41" s="388"/>
      <c r="N41" s="388"/>
      <c r="R41" s="48">
        <v>31</v>
      </c>
      <c r="S41" s="47">
        <f t="shared" si="3"/>
        <v>1744.9402268886452</v>
      </c>
      <c r="T41" s="47">
        <f t="shared" si="2"/>
        <v>916683.71868718904</v>
      </c>
      <c r="V41" s="6" t="b">
        <f t="shared" si="6"/>
        <v>0</v>
      </c>
    </row>
    <row r="42" spans="2:22" ht="20.149999999999999" customHeight="1" x14ac:dyDescent="0.35">
      <c r="B42" s="37" t="str">
        <f t="shared" si="7"/>
        <v/>
      </c>
      <c r="C42" s="37" t="str">
        <f t="shared" si="8"/>
        <v/>
      </c>
      <c r="D42" s="557" t="str">
        <f t="shared" si="9"/>
        <v/>
      </c>
      <c r="E42" s="557"/>
      <c r="F42" s="555" t="str">
        <f t="shared" si="10"/>
        <v/>
      </c>
      <c r="G42" s="555"/>
      <c r="H42" s="557" t="str">
        <f t="shared" si="11"/>
        <v/>
      </c>
      <c r="I42" s="557"/>
      <c r="J42" s="358" t="str">
        <f t="shared" si="12"/>
        <v/>
      </c>
      <c r="K42" s="559"/>
      <c r="L42" s="557" t="str">
        <f t="shared" si="5"/>
        <v/>
      </c>
      <c r="M42" s="557"/>
      <c r="N42" s="557"/>
      <c r="R42" s="48">
        <v>32</v>
      </c>
      <c r="S42" s="47">
        <f t="shared" si="3"/>
        <v>1919.4342495775097</v>
      </c>
      <c r="T42" s="47">
        <f t="shared" si="2"/>
        <v>1051190.2182621059</v>
      </c>
      <c r="V42" s="6" t="b">
        <f t="shared" si="6"/>
        <v>1</v>
      </c>
    </row>
    <row r="43" spans="2:22" ht="20.149999999999999" customHeight="1" x14ac:dyDescent="0.35">
      <c r="B43" s="14" t="str">
        <f t="shared" si="7"/>
        <v/>
      </c>
      <c r="C43" s="14" t="str">
        <f t="shared" si="8"/>
        <v/>
      </c>
      <c r="D43" s="388" t="str">
        <f t="shared" si="9"/>
        <v/>
      </c>
      <c r="E43" s="388"/>
      <c r="F43" s="556" t="str">
        <f t="shared" si="10"/>
        <v/>
      </c>
      <c r="G43" s="556"/>
      <c r="H43" s="388" t="str">
        <f t="shared" si="11"/>
        <v/>
      </c>
      <c r="I43" s="388"/>
      <c r="J43" s="391" t="str">
        <f t="shared" si="12"/>
        <v/>
      </c>
      <c r="K43" s="392"/>
      <c r="L43" s="388" t="str">
        <f t="shared" si="5"/>
        <v/>
      </c>
      <c r="M43" s="388"/>
      <c r="N43" s="388"/>
      <c r="R43" s="48">
        <v>33</v>
      </c>
      <c r="S43" s="47">
        <f t="shared" si="3"/>
        <v>2111.3776745352607</v>
      </c>
      <c r="T43" s="47">
        <f t="shared" si="2"/>
        <v>1204287.9431192582</v>
      </c>
      <c r="V43" s="6" t="b">
        <f t="shared" si="6"/>
        <v>1</v>
      </c>
    </row>
    <row r="44" spans="2:22" ht="20.149999999999999" customHeight="1" x14ac:dyDescent="0.35">
      <c r="B44" s="37" t="str">
        <f t="shared" si="7"/>
        <v/>
      </c>
      <c r="C44" s="37" t="str">
        <f t="shared" si="8"/>
        <v/>
      </c>
      <c r="D44" s="557" t="str">
        <f t="shared" si="9"/>
        <v/>
      </c>
      <c r="E44" s="557"/>
      <c r="F44" s="555" t="str">
        <f t="shared" si="10"/>
        <v/>
      </c>
      <c r="G44" s="555"/>
      <c r="H44" s="557" t="str">
        <f t="shared" si="11"/>
        <v/>
      </c>
      <c r="I44" s="557"/>
      <c r="J44" s="358" t="str">
        <f t="shared" si="12"/>
        <v/>
      </c>
      <c r="K44" s="559"/>
      <c r="L44" s="557" t="str">
        <f t="shared" si="5"/>
        <v/>
      </c>
      <c r="M44" s="557"/>
      <c r="N44" s="557"/>
      <c r="R44" s="48">
        <v>34</v>
      </c>
      <c r="S44" s="47">
        <f t="shared" si="3"/>
        <v>2322.5154419887867</v>
      </c>
      <c r="T44" s="47">
        <f t="shared" ref="T44:T60" si="13">FV((1+$F$10)^(1/12)-1,12,-S44,-T43,1)</f>
        <v>1378452.8848258387</v>
      </c>
      <c r="V44" s="6" t="b">
        <f t="shared" si="6"/>
        <v>1</v>
      </c>
    </row>
    <row r="45" spans="2:22" ht="20.149999999999999" customHeight="1" x14ac:dyDescent="0.35">
      <c r="B45" s="14" t="str">
        <f t="shared" si="7"/>
        <v/>
      </c>
      <c r="C45" s="14" t="str">
        <f t="shared" si="8"/>
        <v/>
      </c>
      <c r="D45" s="388" t="str">
        <f t="shared" si="9"/>
        <v/>
      </c>
      <c r="E45" s="388"/>
      <c r="F45" s="556" t="str">
        <f t="shared" si="10"/>
        <v/>
      </c>
      <c r="G45" s="556"/>
      <c r="H45" s="388" t="str">
        <f t="shared" si="11"/>
        <v/>
      </c>
      <c r="I45" s="388"/>
      <c r="J45" s="391" t="str">
        <f t="shared" si="12"/>
        <v/>
      </c>
      <c r="K45" s="392"/>
      <c r="L45" s="388" t="str">
        <f t="shared" si="5"/>
        <v/>
      </c>
      <c r="M45" s="388"/>
      <c r="N45" s="388"/>
      <c r="R45" s="48">
        <v>35</v>
      </c>
      <c r="S45" s="47">
        <f t="shared" si="3"/>
        <v>2554.7669861876657</v>
      </c>
      <c r="T45" s="47">
        <f t="shared" si="13"/>
        <v>1576482.6583904361</v>
      </c>
      <c r="V45" s="6" t="b">
        <f t="shared" si="6"/>
        <v>1</v>
      </c>
    </row>
    <row r="46" spans="2:22" ht="20.149999999999999" customHeight="1" x14ac:dyDescent="0.35">
      <c r="B46" s="37" t="str">
        <f t="shared" si="7"/>
        <v/>
      </c>
      <c r="C46" s="37" t="str">
        <f t="shared" si="8"/>
        <v/>
      </c>
      <c r="D46" s="557" t="str">
        <f t="shared" si="9"/>
        <v/>
      </c>
      <c r="E46" s="557"/>
      <c r="F46" s="555" t="str">
        <f t="shared" si="10"/>
        <v/>
      </c>
      <c r="G46" s="555"/>
      <c r="H46" s="557" t="str">
        <f t="shared" si="11"/>
        <v/>
      </c>
      <c r="I46" s="557"/>
      <c r="J46" s="358" t="str">
        <f t="shared" si="12"/>
        <v/>
      </c>
      <c r="K46" s="559"/>
      <c r="L46" s="557" t="str">
        <f t="shared" si="5"/>
        <v/>
      </c>
      <c r="M46" s="557"/>
      <c r="N46" s="557"/>
      <c r="R46" s="48">
        <v>36</v>
      </c>
      <c r="S46" s="47">
        <f t="shared" si="3"/>
        <v>2810.2436848064326</v>
      </c>
      <c r="T46" s="47">
        <f t="shared" si="13"/>
        <v>1801537.5475213348</v>
      </c>
      <c r="V46" s="6" t="b">
        <f t="shared" si="6"/>
        <v>1</v>
      </c>
    </row>
    <row r="47" spans="2:22" ht="20.149999999999999" customHeight="1" x14ac:dyDescent="0.35">
      <c r="B47" s="14" t="str">
        <f t="shared" si="7"/>
        <v/>
      </c>
      <c r="C47" s="14" t="str">
        <f t="shared" si="8"/>
        <v/>
      </c>
      <c r="D47" s="388" t="str">
        <f t="shared" si="9"/>
        <v/>
      </c>
      <c r="E47" s="388"/>
      <c r="F47" s="556" t="str">
        <f t="shared" si="10"/>
        <v/>
      </c>
      <c r="G47" s="556"/>
      <c r="H47" s="388" t="str">
        <f t="shared" si="11"/>
        <v/>
      </c>
      <c r="I47" s="388"/>
      <c r="J47" s="391" t="str">
        <f t="shared" si="12"/>
        <v/>
      </c>
      <c r="K47" s="392"/>
      <c r="L47" s="388" t="str">
        <f t="shared" si="5"/>
        <v/>
      </c>
      <c r="M47" s="388"/>
      <c r="N47" s="388"/>
      <c r="R47" s="48">
        <v>37</v>
      </c>
      <c r="S47" s="47">
        <f t="shared" si="3"/>
        <v>3091.2680532870763</v>
      </c>
      <c r="T47" s="47">
        <f t="shared" si="13"/>
        <v>2057186.7203603464</v>
      </c>
      <c r="V47" s="6" t="b">
        <f t="shared" si="6"/>
        <v>1</v>
      </c>
    </row>
    <row r="48" spans="2:22" ht="20.149999999999999" customHeight="1" x14ac:dyDescent="0.35">
      <c r="B48" s="37" t="str">
        <f t="shared" si="7"/>
        <v/>
      </c>
      <c r="C48" s="37" t="str">
        <f t="shared" si="8"/>
        <v/>
      </c>
      <c r="D48" s="557" t="str">
        <f t="shared" si="9"/>
        <v/>
      </c>
      <c r="E48" s="557"/>
      <c r="F48" s="555" t="str">
        <f t="shared" si="10"/>
        <v/>
      </c>
      <c r="G48" s="555"/>
      <c r="H48" s="557" t="str">
        <f t="shared" si="11"/>
        <v/>
      </c>
      <c r="I48" s="557"/>
      <c r="J48" s="358" t="str">
        <f t="shared" si="12"/>
        <v/>
      </c>
      <c r="K48" s="559"/>
      <c r="L48" s="557" t="str">
        <f t="shared" si="5"/>
        <v/>
      </c>
      <c r="M48" s="557"/>
      <c r="N48" s="557"/>
      <c r="R48" s="48">
        <v>38</v>
      </c>
      <c r="S48" s="47">
        <f t="shared" si="3"/>
        <v>3400.3948586157844</v>
      </c>
      <c r="T48" s="47">
        <f t="shared" si="13"/>
        <v>2347460.2606536844</v>
      </c>
      <c r="V48" s="6" t="b">
        <f t="shared" si="6"/>
        <v>1</v>
      </c>
    </row>
    <row r="49" spans="2:22" ht="20.149999999999999" customHeight="1" x14ac:dyDescent="0.35">
      <c r="B49" s="14" t="str">
        <f t="shared" si="7"/>
        <v/>
      </c>
      <c r="C49" s="14" t="str">
        <f t="shared" si="8"/>
        <v/>
      </c>
      <c r="D49" s="388" t="str">
        <f t="shared" si="9"/>
        <v/>
      </c>
      <c r="E49" s="388"/>
      <c r="F49" s="556" t="str">
        <f t="shared" si="10"/>
        <v/>
      </c>
      <c r="G49" s="556"/>
      <c r="H49" s="388" t="str">
        <f t="shared" si="11"/>
        <v/>
      </c>
      <c r="I49" s="388"/>
      <c r="J49" s="391" t="str">
        <f t="shared" si="12"/>
        <v/>
      </c>
      <c r="K49" s="392"/>
      <c r="L49" s="388" t="str">
        <f t="shared" si="5"/>
        <v/>
      </c>
      <c r="M49" s="388"/>
      <c r="N49" s="388"/>
      <c r="R49" s="48">
        <v>39</v>
      </c>
      <c r="S49" s="47">
        <f t="shared" si="3"/>
        <v>3740.4343444773631</v>
      </c>
      <c r="T49" s="47">
        <f t="shared" si="13"/>
        <v>2676907.739167233</v>
      </c>
      <c r="V49" s="6" t="b">
        <f t="shared" si="6"/>
        <v>1</v>
      </c>
    </row>
    <row r="50" spans="2:22" ht="20.149999999999999" customHeight="1" x14ac:dyDescent="0.35">
      <c r="B50" s="37" t="str">
        <f t="shared" si="7"/>
        <v/>
      </c>
      <c r="C50" s="37" t="str">
        <f t="shared" si="8"/>
        <v/>
      </c>
      <c r="D50" s="557" t="str">
        <f t="shared" si="9"/>
        <v/>
      </c>
      <c r="E50" s="557"/>
      <c r="F50" s="555" t="str">
        <f t="shared" si="10"/>
        <v/>
      </c>
      <c r="G50" s="555"/>
      <c r="H50" s="557" t="str">
        <f t="shared" si="11"/>
        <v/>
      </c>
      <c r="I50" s="557"/>
      <c r="J50" s="358" t="str">
        <f t="shared" si="12"/>
        <v/>
      </c>
      <c r="K50" s="559"/>
      <c r="L50" s="557" t="str">
        <f t="shared" ref="L50:L67" si="14">IF(C50="","",J50*(1+$F$11))</f>
        <v/>
      </c>
      <c r="M50" s="557"/>
      <c r="N50" s="557"/>
      <c r="R50" s="48">
        <v>40</v>
      </c>
      <c r="S50" s="47">
        <f t="shared" si="3"/>
        <v>4114.4777789250993</v>
      </c>
      <c r="T50" s="47">
        <f t="shared" si="13"/>
        <v>3050664.1398259178</v>
      </c>
      <c r="V50" s="6" t="b">
        <f t="shared" si="6"/>
        <v>1</v>
      </c>
    </row>
    <row r="51" spans="2:22" ht="20.149999999999999" customHeight="1" x14ac:dyDescent="0.35">
      <c r="B51" s="14" t="str">
        <f t="shared" si="7"/>
        <v/>
      </c>
      <c r="C51" s="14" t="str">
        <f t="shared" si="8"/>
        <v/>
      </c>
      <c r="D51" s="388" t="str">
        <f t="shared" si="9"/>
        <v/>
      </c>
      <c r="E51" s="388"/>
      <c r="F51" s="556" t="str">
        <f t="shared" si="10"/>
        <v/>
      </c>
      <c r="G51" s="556"/>
      <c r="H51" s="388" t="str">
        <f t="shared" si="11"/>
        <v/>
      </c>
      <c r="I51" s="388"/>
      <c r="J51" s="391" t="str">
        <f t="shared" si="12"/>
        <v/>
      </c>
      <c r="K51" s="392"/>
      <c r="L51" s="388" t="str">
        <f t="shared" si="14"/>
        <v/>
      </c>
      <c r="M51" s="388"/>
      <c r="N51" s="388"/>
      <c r="R51" s="48">
        <v>41</v>
      </c>
      <c r="S51" s="47">
        <f t="shared" si="3"/>
        <v>4525.9255568176095</v>
      </c>
      <c r="T51" s="47">
        <f t="shared" si="13"/>
        <v>3474524.0557595068</v>
      </c>
      <c r="V51" s="6" t="b">
        <f t="shared" si="6"/>
        <v>1</v>
      </c>
    </row>
    <row r="52" spans="2:22" ht="20.149999999999999" customHeight="1" x14ac:dyDescent="0.35">
      <c r="B52" s="37" t="str">
        <f t="shared" si="7"/>
        <v/>
      </c>
      <c r="C52" s="37" t="str">
        <f t="shared" si="8"/>
        <v/>
      </c>
      <c r="D52" s="557" t="str">
        <f t="shared" si="9"/>
        <v/>
      </c>
      <c r="E52" s="557"/>
      <c r="F52" s="555" t="str">
        <f t="shared" si="10"/>
        <v/>
      </c>
      <c r="G52" s="555"/>
      <c r="H52" s="557" t="str">
        <f t="shared" si="11"/>
        <v/>
      </c>
      <c r="I52" s="557"/>
      <c r="J52" s="358" t="str">
        <f t="shared" si="12"/>
        <v/>
      </c>
      <c r="K52" s="559"/>
      <c r="L52" s="557" t="str">
        <f t="shared" si="14"/>
        <v/>
      </c>
      <c r="M52" s="557"/>
      <c r="N52" s="557"/>
      <c r="R52" s="48">
        <v>42</v>
      </c>
      <c r="S52" s="47">
        <f t="shared" si="3"/>
        <v>4978.5181124993705</v>
      </c>
      <c r="T52" s="47">
        <f t="shared" si="13"/>
        <v>3955025.1835205741</v>
      </c>
      <c r="V52" s="6" t="b">
        <f t="shared" si="6"/>
        <v>1</v>
      </c>
    </row>
    <row r="53" spans="2:22" ht="20.149999999999999" customHeight="1" x14ac:dyDescent="0.35">
      <c r="B53" s="14" t="str">
        <f t="shared" si="7"/>
        <v/>
      </c>
      <c r="C53" s="14" t="str">
        <f t="shared" si="8"/>
        <v/>
      </c>
      <c r="D53" s="388" t="str">
        <f t="shared" si="9"/>
        <v/>
      </c>
      <c r="E53" s="388"/>
      <c r="F53" s="556" t="str">
        <f t="shared" si="10"/>
        <v/>
      </c>
      <c r="G53" s="556"/>
      <c r="H53" s="388" t="str">
        <f t="shared" si="11"/>
        <v/>
      </c>
      <c r="I53" s="388"/>
      <c r="J53" s="391" t="str">
        <f t="shared" si="12"/>
        <v/>
      </c>
      <c r="K53" s="392"/>
      <c r="L53" s="388" t="str">
        <f t="shared" si="14"/>
        <v/>
      </c>
      <c r="M53" s="388"/>
      <c r="N53" s="388"/>
      <c r="R53" s="48">
        <v>43</v>
      </c>
      <c r="S53" s="47">
        <f t="shared" si="3"/>
        <v>5476.3699237493083</v>
      </c>
      <c r="T53" s="47">
        <f t="shared" si="13"/>
        <v>4499542.2707199631</v>
      </c>
      <c r="V53" s="6" t="b">
        <f t="shared" si="6"/>
        <v>1</v>
      </c>
    </row>
    <row r="54" spans="2:22" ht="20.149999999999999" customHeight="1" x14ac:dyDescent="0.35">
      <c r="B54" s="37" t="str">
        <f t="shared" si="7"/>
        <v/>
      </c>
      <c r="C54" s="37" t="str">
        <f t="shared" si="8"/>
        <v/>
      </c>
      <c r="D54" s="557" t="str">
        <f t="shared" si="9"/>
        <v/>
      </c>
      <c r="E54" s="557"/>
      <c r="F54" s="555" t="str">
        <f t="shared" si="10"/>
        <v/>
      </c>
      <c r="G54" s="555"/>
      <c r="H54" s="557" t="str">
        <f t="shared" si="11"/>
        <v/>
      </c>
      <c r="I54" s="557"/>
      <c r="J54" s="358" t="str">
        <f t="shared" si="12"/>
        <v/>
      </c>
      <c r="K54" s="559"/>
      <c r="L54" s="557" t="str">
        <f t="shared" si="14"/>
        <v/>
      </c>
      <c r="M54" s="557"/>
      <c r="N54" s="557"/>
      <c r="R54" s="48">
        <v>44</v>
      </c>
      <c r="S54" s="47">
        <f t="shared" si="3"/>
        <v>6024.00691612424</v>
      </c>
      <c r="T54" s="47">
        <f t="shared" si="13"/>
        <v>5116392.814900971</v>
      </c>
      <c r="V54" s="6" t="b">
        <f t="shared" si="6"/>
        <v>1</v>
      </c>
    </row>
    <row r="55" spans="2:22" ht="20.149999999999999" customHeight="1" x14ac:dyDescent="0.35">
      <c r="B55" s="14" t="str">
        <f t="shared" si="7"/>
        <v/>
      </c>
      <c r="C55" s="14" t="str">
        <f t="shared" si="8"/>
        <v/>
      </c>
      <c r="D55" s="388" t="str">
        <f t="shared" si="9"/>
        <v/>
      </c>
      <c r="E55" s="388"/>
      <c r="F55" s="556" t="str">
        <f t="shared" si="10"/>
        <v/>
      </c>
      <c r="G55" s="556"/>
      <c r="H55" s="388" t="str">
        <f t="shared" si="11"/>
        <v/>
      </c>
      <c r="I55" s="388"/>
      <c r="J55" s="391" t="str">
        <f t="shared" si="12"/>
        <v/>
      </c>
      <c r="K55" s="392"/>
      <c r="L55" s="388" t="str">
        <f t="shared" si="14"/>
        <v/>
      </c>
      <c r="M55" s="388"/>
      <c r="N55" s="388"/>
      <c r="R55" s="48">
        <v>45</v>
      </c>
      <c r="S55" s="47">
        <f t="shared" si="3"/>
        <v>6626.4076077366644</v>
      </c>
      <c r="T55" s="47">
        <f t="shared" si="13"/>
        <v>5814955.9715531608</v>
      </c>
      <c r="V55" s="6" t="b">
        <f t="shared" si="6"/>
        <v>1</v>
      </c>
    </row>
    <row r="56" spans="2:22" ht="20.149999999999999" customHeight="1" x14ac:dyDescent="0.35">
      <c r="B56" s="37" t="str">
        <f t="shared" si="7"/>
        <v/>
      </c>
      <c r="C56" s="37" t="str">
        <f t="shared" si="8"/>
        <v/>
      </c>
      <c r="D56" s="557" t="str">
        <f t="shared" si="9"/>
        <v/>
      </c>
      <c r="E56" s="557"/>
      <c r="F56" s="555" t="str">
        <f t="shared" si="10"/>
        <v/>
      </c>
      <c r="G56" s="555"/>
      <c r="H56" s="557" t="str">
        <f t="shared" si="11"/>
        <v/>
      </c>
      <c r="I56" s="557"/>
      <c r="J56" s="358" t="str">
        <f t="shared" si="12"/>
        <v/>
      </c>
      <c r="K56" s="559"/>
      <c r="L56" s="557" t="str">
        <f t="shared" si="14"/>
        <v/>
      </c>
      <c r="M56" s="557"/>
      <c r="N56" s="557"/>
      <c r="R56" s="48">
        <v>46</v>
      </c>
      <c r="S56" s="47">
        <f t="shared" si="3"/>
        <v>7289.0483685103318</v>
      </c>
      <c r="T56" s="47">
        <f t="shared" si="13"/>
        <v>6605806.3088900214</v>
      </c>
      <c r="V56" s="6" t="b">
        <f t="shared" si="6"/>
        <v>1</v>
      </c>
    </row>
    <row r="57" spans="2:22" ht="20.149999999999999" customHeight="1" x14ac:dyDescent="0.35">
      <c r="B57" s="14" t="str">
        <f t="shared" si="7"/>
        <v/>
      </c>
      <c r="C57" s="14" t="str">
        <f t="shared" si="8"/>
        <v/>
      </c>
      <c r="D57" s="388" t="str">
        <f t="shared" si="9"/>
        <v/>
      </c>
      <c r="E57" s="388"/>
      <c r="F57" s="556" t="str">
        <f t="shared" si="10"/>
        <v/>
      </c>
      <c r="G57" s="556"/>
      <c r="H57" s="388" t="str">
        <f t="shared" si="11"/>
        <v/>
      </c>
      <c r="I57" s="388"/>
      <c r="J57" s="391" t="str">
        <f t="shared" si="12"/>
        <v/>
      </c>
      <c r="K57" s="392"/>
      <c r="L57" s="388" t="str">
        <f t="shared" si="14"/>
        <v/>
      </c>
      <c r="M57" s="388"/>
      <c r="N57" s="388"/>
      <c r="R57" s="48">
        <v>47</v>
      </c>
      <c r="S57" s="47">
        <f t="shared" si="3"/>
        <v>8017.9532053613657</v>
      </c>
      <c r="T57" s="47">
        <f t="shared" si="13"/>
        <v>7500864.2487823535</v>
      </c>
      <c r="V57" s="6" t="b">
        <f t="shared" si="6"/>
        <v>1</v>
      </c>
    </row>
    <row r="58" spans="2:22" ht="20.149999999999999" customHeight="1" x14ac:dyDescent="0.35">
      <c r="B58" s="37" t="str">
        <f t="shared" si="7"/>
        <v/>
      </c>
      <c r="C58" s="37" t="str">
        <f t="shared" si="8"/>
        <v/>
      </c>
      <c r="D58" s="557" t="str">
        <f t="shared" si="9"/>
        <v/>
      </c>
      <c r="E58" s="557"/>
      <c r="F58" s="555" t="str">
        <f t="shared" si="10"/>
        <v/>
      </c>
      <c r="G58" s="555"/>
      <c r="H58" s="557" t="str">
        <f t="shared" si="11"/>
        <v/>
      </c>
      <c r="I58" s="557"/>
      <c r="J58" s="358" t="str">
        <f t="shared" si="12"/>
        <v/>
      </c>
      <c r="K58" s="559"/>
      <c r="L58" s="557" t="str">
        <f t="shared" si="14"/>
        <v/>
      </c>
      <c r="M58" s="557"/>
      <c r="N58" s="557"/>
      <c r="R58" s="48">
        <v>48</v>
      </c>
      <c r="S58" s="47">
        <f t="shared" si="3"/>
        <v>8819.748525897503</v>
      </c>
      <c r="T58" s="47">
        <f t="shared" si="13"/>
        <v>8513565.2597443182</v>
      </c>
      <c r="V58" s="6" t="b">
        <f t="shared" si="6"/>
        <v>1</v>
      </c>
    </row>
    <row r="59" spans="2:22" ht="20.149999999999999" customHeight="1" x14ac:dyDescent="0.35">
      <c r="B59" s="14" t="str">
        <f t="shared" si="7"/>
        <v/>
      </c>
      <c r="C59" s="14" t="str">
        <f t="shared" si="8"/>
        <v/>
      </c>
      <c r="D59" s="388" t="str">
        <f t="shared" si="9"/>
        <v/>
      </c>
      <c r="E59" s="388"/>
      <c r="F59" s="556" t="str">
        <f t="shared" si="10"/>
        <v/>
      </c>
      <c r="G59" s="556"/>
      <c r="H59" s="388" t="str">
        <f t="shared" si="11"/>
        <v/>
      </c>
      <c r="I59" s="388"/>
      <c r="J59" s="391" t="str">
        <f t="shared" si="12"/>
        <v/>
      </c>
      <c r="K59" s="392"/>
      <c r="L59" s="388" t="str">
        <f t="shared" si="14"/>
        <v/>
      </c>
      <c r="M59" s="388"/>
      <c r="N59" s="388"/>
      <c r="R59" s="48">
        <v>49</v>
      </c>
      <c r="S59" s="47">
        <f t="shared" si="3"/>
        <v>9701.7233784872533</v>
      </c>
      <c r="T59" s="47">
        <f t="shared" si="13"/>
        <v>9659050.1221325267</v>
      </c>
      <c r="V59" s="6" t="b">
        <f t="shared" si="6"/>
        <v>1</v>
      </c>
    </row>
    <row r="60" spans="2:22" ht="20.149999999999999" customHeight="1" x14ac:dyDescent="0.35">
      <c r="B60" s="37" t="str">
        <f t="shared" si="7"/>
        <v/>
      </c>
      <c r="C60" s="37" t="str">
        <f t="shared" si="8"/>
        <v/>
      </c>
      <c r="D60" s="557" t="str">
        <f t="shared" si="9"/>
        <v/>
      </c>
      <c r="E60" s="557"/>
      <c r="F60" s="555" t="str">
        <f t="shared" si="10"/>
        <v/>
      </c>
      <c r="G60" s="555"/>
      <c r="H60" s="557" t="str">
        <f t="shared" si="11"/>
        <v/>
      </c>
      <c r="I60" s="557"/>
      <c r="J60" s="358" t="str">
        <f t="shared" si="12"/>
        <v/>
      </c>
      <c r="K60" s="559"/>
      <c r="L60" s="557" t="str">
        <f t="shared" si="14"/>
        <v/>
      </c>
      <c r="M60" s="557"/>
      <c r="N60" s="557"/>
      <c r="R60" s="48">
        <v>50</v>
      </c>
      <c r="S60" s="47">
        <f t="shared" si="3"/>
        <v>10671.895716335979</v>
      </c>
      <c r="T60" s="47">
        <f t="shared" si="13"/>
        <v>10954378.871129211</v>
      </c>
      <c r="V60" s="6" t="b">
        <f t="shared" si="6"/>
        <v>1</v>
      </c>
    </row>
    <row r="61" spans="2:22" ht="20.149999999999999" customHeight="1" x14ac:dyDescent="0.35">
      <c r="B61" s="14" t="str">
        <f t="shared" si="7"/>
        <v/>
      </c>
      <c r="C61" s="14" t="str">
        <f t="shared" si="8"/>
        <v/>
      </c>
      <c r="D61" s="388" t="str">
        <f t="shared" si="9"/>
        <v/>
      </c>
      <c r="E61" s="388"/>
      <c r="F61" s="556" t="str">
        <f t="shared" si="10"/>
        <v/>
      </c>
      <c r="G61" s="556"/>
      <c r="H61" s="388" t="str">
        <f t="shared" si="11"/>
        <v/>
      </c>
      <c r="I61" s="388"/>
      <c r="J61" s="391" t="str">
        <f t="shared" si="12"/>
        <v/>
      </c>
      <c r="K61" s="392"/>
      <c r="L61" s="388" t="str">
        <f t="shared" si="14"/>
        <v/>
      </c>
      <c r="M61" s="388"/>
      <c r="N61" s="388"/>
      <c r="V61" s="6" t="b">
        <f t="shared" si="6"/>
        <v>1</v>
      </c>
    </row>
    <row r="62" spans="2:22" ht="20.149999999999999" customHeight="1" x14ac:dyDescent="0.35">
      <c r="B62" s="37" t="str">
        <f t="shared" si="7"/>
        <v/>
      </c>
      <c r="C62" s="37" t="str">
        <f t="shared" si="8"/>
        <v/>
      </c>
      <c r="D62" s="557" t="str">
        <f t="shared" si="9"/>
        <v/>
      </c>
      <c r="E62" s="557"/>
      <c r="F62" s="555" t="str">
        <f t="shared" si="10"/>
        <v/>
      </c>
      <c r="G62" s="555"/>
      <c r="H62" s="557" t="str">
        <f t="shared" si="11"/>
        <v/>
      </c>
      <c r="I62" s="557"/>
      <c r="J62" s="358" t="str">
        <f t="shared" si="12"/>
        <v/>
      </c>
      <c r="K62" s="559"/>
      <c r="L62" s="557" t="str">
        <f t="shared" si="14"/>
        <v/>
      </c>
      <c r="M62" s="557"/>
      <c r="N62" s="557"/>
      <c r="V62" s="6" t="b">
        <f t="shared" si="6"/>
        <v>1</v>
      </c>
    </row>
    <row r="63" spans="2:22" ht="20.149999999999999" customHeight="1" x14ac:dyDescent="0.35">
      <c r="B63" s="14" t="str">
        <f t="shared" si="7"/>
        <v/>
      </c>
      <c r="C63" s="14" t="str">
        <f t="shared" si="8"/>
        <v/>
      </c>
      <c r="D63" s="388" t="str">
        <f t="shared" si="9"/>
        <v/>
      </c>
      <c r="E63" s="388"/>
      <c r="F63" s="556" t="str">
        <f t="shared" si="10"/>
        <v/>
      </c>
      <c r="G63" s="556"/>
      <c r="H63" s="388" t="str">
        <f t="shared" si="11"/>
        <v/>
      </c>
      <c r="I63" s="388"/>
      <c r="J63" s="391" t="str">
        <f t="shared" si="12"/>
        <v/>
      </c>
      <c r="K63" s="392"/>
      <c r="L63" s="388" t="str">
        <f t="shared" si="14"/>
        <v/>
      </c>
      <c r="M63" s="388"/>
      <c r="N63" s="388"/>
      <c r="V63" s="6" t="b">
        <f t="shared" si="6"/>
        <v>1</v>
      </c>
    </row>
    <row r="64" spans="2:22" ht="20.149999999999999" customHeight="1" x14ac:dyDescent="0.35">
      <c r="B64" s="37" t="str">
        <f t="shared" si="7"/>
        <v/>
      </c>
      <c r="C64" s="37" t="str">
        <f t="shared" si="8"/>
        <v/>
      </c>
      <c r="D64" s="557" t="str">
        <f t="shared" si="9"/>
        <v/>
      </c>
      <c r="E64" s="557"/>
      <c r="F64" s="555" t="str">
        <f t="shared" si="10"/>
        <v/>
      </c>
      <c r="G64" s="555"/>
      <c r="H64" s="557" t="str">
        <f t="shared" si="11"/>
        <v/>
      </c>
      <c r="I64" s="557"/>
      <c r="J64" s="358" t="str">
        <f t="shared" si="12"/>
        <v/>
      </c>
      <c r="K64" s="559"/>
      <c r="L64" s="557" t="str">
        <f t="shared" si="14"/>
        <v/>
      </c>
      <c r="M64" s="557"/>
      <c r="N64" s="557"/>
      <c r="V64" s="6" t="b">
        <f t="shared" si="6"/>
        <v>1</v>
      </c>
    </row>
    <row r="65" spans="2:22" ht="20.149999999999999" customHeight="1" x14ac:dyDescent="0.35">
      <c r="B65" s="14" t="str">
        <f t="shared" si="7"/>
        <v/>
      </c>
      <c r="C65" s="14" t="str">
        <f t="shared" si="8"/>
        <v/>
      </c>
      <c r="D65" s="388" t="str">
        <f t="shared" si="9"/>
        <v/>
      </c>
      <c r="E65" s="388"/>
      <c r="F65" s="556" t="str">
        <f t="shared" si="10"/>
        <v/>
      </c>
      <c r="G65" s="556"/>
      <c r="H65" s="388" t="str">
        <f t="shared" si="11"/>
        <v/>
      </c>
      <c r="I65" s="388"/>
      <c r="J65" s="391" t="str">
        <f t="shared" si="12"/>
        <v/>
      </c>
      <c r="K65" s="392"/>
      <c r="L65" s="388" t="str">
        <f t="shared" si="14"/>
        <v/>
      </c>
      <c r="M65" s="388"/>
      <c r="N65" s="388"/>
      <c r="V65" s="6" t="b">
        <f t="shared" si="6"/>
        <v>1</v>
      </c>
    </row>
    <row r="66" spans="2:22" ht="20.149999999999999" customHeight="1" x14ac:dyDescent="0.35">
      <c r="B66" s="37" t="str">
        <f t="shared" si="7"/>
        <v/>
      </c>
      <c r="C66" s="37" t="str">
        <f t="shared" si="8"/>
        <v/>
      </c>
      <c r="D66" s="557" t="str">
        <f t="shared" si="9"/>
        <v/>
      </c>
      <c r="E66" s="557"/>
      <c r="F66" s="555" t="str">
        <f t="shared" si="10"/>
        <v/>
      </c>
      <c r="G66" s="555"/>
      <c r="H66" s="557" t="str">
        <f t="shared" si="11"/>
        <v/>
      </c>
      <c r="I66" s="557"/>
      <c r="J66" s="358" t="str">
        <f t="shared" si="12"/>
        <v/>
      </c>
      <c r="K66" s="559"/>
      <c r="L66" s="557" t="str">
        <f t="shared" si="14"/>
        <v/>
      </c>
      <c r="M66" s="557"/>
      <c r="N66" s="557"/>
      <c r="V66" s="6" t="b">
        <f t="shared" si="6"/>
        <v>1</v>
      </c>
    </row>
    <row r="67" spans="2:22" ht="20.149999999999999" customHeight="1" x14ac:dyDescent="0.35">
      <c r="B67" s="14" t="str">
        <f t="shared" si="7"/>
        <v/>
      </c>
      <c r="C67" s="14" t="str">
        <f t="shared" si="8"/>
        <v/>
      </c>
      <c r="D67" s="388" t="str">
        <f t="shared" si="9"/>
        <v/>
      </c>
      <c r="E67" s="388"/>
      <c r="F67" s="556" t="str">
        <f t="shared" si="10"/>
        <v/>
      </c>
      <c r="G67" s="556"/>
      <c r="H67" s="388" t="str">
        <f t="shared" si="11"/>
        <v/>
      </c>
      <c r="I67" s="388"/>
      <c r="J67" s="391" t="str">
        <f t="shared" ref="J67" si="15">IF(C67="","",D67-F67)</f>
        <v/>
      </c>
      <c r="K67" s="392"/>
      <c r="L67" s="388" t="str">
        <f t="shared" si="14"/>
        <v/>
      </c>
      <c r="M67" s="388"/>
      <c r="N67" s="388"/>
      <c r="V67" s="6" t="b">
        <f t="shared" si="6"/>
        <v>1</v>
      </c>
    </row>
    <row r="68" spans="2:22" ht="15" customHeight="1" x14ac:dyDescent="0.35">
      <c r="B68"/>
      <c r="C68"/>
      <c r="D68"/>
      <c r="E68"/>
      <c r="F68"/>
      <c r="G68"/>
      <c r="H68"/>
      <c r="I68"/>
      <c r="J68"/>
      <c r="K68"/>
      <c r="L68"/>
      <c r="M68"/>
      <c r="N68"/>
    </row>
    <row r="69" spans="2:22" ht="15" hidden="1" customHeight="1" x14ac:dyDescent="0.35">
      <c r="B69"/>
      <c r="C69"/>
      <c r="D69"/>
      <c r="E69"/>
      <c r="F69"/>
      <c r="G69"/>
      <c r="H69"/>
      <c r="I69"/>
      <c r="J69"/>
      <c r="K69"/>
      <c r="L69"/>
      <c r="M69"/>
      <c r="N69"/>
    </row>
  </sheetData>
  <mergeCells count="281">
    <mergeCell ref="L15:N16"/>
    <mergeCell ref="D15:E16"/>
    <mergeCell ref="F15:G16"/>
    <mergeCell ref="H15:I16"/>
    <mergeCell ref="D19:E19"/>
    <mergeCell ref="F21:G21"/>
    <mergeCell ref="J21:K21"/>
    <mergeCell ref="J19:K19"/>
    <mergeCell ref="D20:E20"/>
    <mergeCell ref="F20:G20"/>
    <mergeCell ref="J20:K20"/>
    <mergeCell ref="J1:O3"/>
    <mergeCell ref="M4:N4"/>
    <mergeCell ref="M5:N5"/>
    <mergeCell ref="M6:N6"/>
    <mergeCell ref="M8:N8"/>
    <mergeCell ref="M9:N9"/>
    <mergeCell ref="M10:N10"/>
    <mergeCell ref="M11:N11"/>
    <mergeCell ref="M7:N7"/>
    <mergeCell ref="A2:A3"/>
    <mergeCell ref="F11:G11"/>
    <mergeCell ref="F10:G10"/>
    <mergeCell ref="B15:B16"/>
    <mergeCell ref="C15:C16"/>
    <mergeCell ref="B2:H3"/>
    <mergeCell ref="F5:G5"/>
    <mergeCell ref="F6:G6"/>
    <mergeCell ref="F7:G7"/>
    <mergeCell ref="F8:G8"/>
    <mergeCell ref="F9:G9"/>
    <mergeCell ref="J25:K25"/>
    <mergeCell ref="L25:N25"/>
    <mergeCell ref="D24:E24"/>
    <mergeCell ref="H21:I21"/>
    <mergeCell ref="J17:K17"/>
    <mergeCell ref="J18:K18"/>
    <mergeCell ref="D17:E17"/>
    <mergeCell ref="D18:E18"/>
    <mergeCell ref="D27:E27"/>
    <mergeCell ref="F27:G27"/>
    <mergeCell ref="J27:K27"/>
    <mergeCell ref="H27:I27"/>
    <mergeCell ref="L27:N27"/>
    <mergeCell ref="D26:E26"/>
    <mergeCell ref="F26:G26"/>
    <mergeCell ref="J26:K26"/>
    <mergeCell ref="H26:I26"/>
    <mergeCell ref="L26:N26"/>
    <mergeCell ref="D28:E28"/>
    <mergeCell ref="D29:E29"/>
    <mergeCell ref="H22:I22"/>
    <mergeCell ref="H23:I23"/>
    <mergeCell ref="H24:I24"/>
    <mergeCell ref="H25:I25"/>
    <mergeCell ref="F24:G24"/>
    <mergeCell ref="D30:E30"/>
    <mergeCell ref="D31:E31"/>
    <mergeCell ref="H30:I30"/>
    <mergeCell ref="H31:I31"/>
    <mergeCell ref="F30:G30"/>
    <mergeCell ref="F31:G31"/>
    <mergeCell ref="F28:G28"/>
    <mergeCell ref="F29:G29"/>
    <mergeCell ref="D25:E25"/>
    <mergeCell ref="F25:G25"/>
    <mergeCell ref="D32:E32"/>
    <mergeCell ref="D33:E33"/>
    <mergeCell ref="D34:E34"/>
    <mergeCell ref="D35:E35"/>
    <mergeCell ref="J15:K16"/>
    <mergeCell ref="J24:K24"/>
    <mergeCell ref="L24:N24"/>
    <mergeCell ref="D23:E23"/>
    <mergeCell ref="F23:G23"/>
    <mergeCell ref="J23:K23"/>
    <mergeCell ref="L23:N23"/>
    <mergeCell ref="D22:E22"/>
    <mergeCell ref="F22:G22"/>
    <mergeCell ref="J22:K22"/>
    <mergeCell ref="D21:E21"/>
    <mergeCell ref="F17:G17"/>
    <mergeCell ref="F18:G18"/>
    <mergeCell ref="F19:G19"/>
    <mergeCell ref="H17:I17"/>
    <mergeCell ref="H18:I18"/>
    <mergeCell ref="H19:I19"/>
    <mergeCell ref="H20:I20"/>
    <mergeCell ref="H28:I28"/>
    <mergeCell ref="H29:I29"/>
    <mergeCell ref="D64:E64"/>
    <mergeCell ref="D65:E65"/>
    <mergeCell ref="D54:E54"/>
    <mergeCell ref="D55:E55"/>
    <mergeCell ref="D56:E56"/>
    <mergeCell ref="D57:E57"/>
    <mergeCell ref="D58:E58"/>
    <mergeCell ref="D59:E59"/>
    <mergeCell ref="D39:E39"/>
    <mergeCell ref="D40:E40"/>
    <mergeCell ref="D41:E41"/>
    <mergeCell ref="D36:E36"/>
    <mergeCell ref="D37:E37"/>
    <mergeCell ref="D38:E38"/>
    <mergeCell ref="F57:G57"/>
    <mergeCell ref="F58:G58"/>
    <mergeCell ref="F59:G59"/>
    <mergeCell ref="F60:G60"/>
    <mergeCell ref="F51:G51"/>
    <mergeCell ref="D63:E63"/>
    <mergeCell ref="D60:E60"/>
    <mergeCell ref="D48:E48"/>
    <mergeCell ref="D49:E49"/>
    <mergeCell ref="D50:E50"/>
    <mergeCell ref="D51:E51"/>
    <mergeCell ref="D52:E52"/>
    <mergeCell ref="D53:E53"/>
    <mergeCell ref="D42:E42"/>
    <mergeCell ref="D43:E43"/>
    <mergeCell ref="D44:E44"/>
    <mergeCell ref="D45:E45"/>
    <mergeCell ref="D46:E46"/>
    <mergeCell ref="D47:E47"/>
    <mergeCell ref="F63:G63"/>
    <mergeCell ref="D62:E62"/>
    <mergeCell ref="H32:I32"/>
    <mergeCell ref="H33:I33"/>
    <mergeCell ref="F52:G52"/>
    <mergeCell ref="F53:G53"/>
    <mergeCell ref="F54:G54"/>
    <mergeCell ref="F45:G45"/>
    <mergeCell ref="F46:G46"/>
    <mergeCell ref="F47:G47"/>
    <mergeCell ref="F48:G48"/>
    <mergeCell ref="F49:G49"/>
    <mergeCell ref="F50:G50"/>
    <mergeCell ref="F32:G32"/>
    <mergeCell ref="H34:I34"/>
    <mergeCell ref="H35:I35"/>
    <mergeCell ref="H36:I36"/>
    <mergeCell ref="H37:I37"/>
    <mergeCell ref="H38:I38"/>
    <mergeCell ref="H39:I39"/>
    <mergeCell ref="H43:I43"/>
    <mergeCell ref="F64:G64"/>
    <mergeCell ref="F65:G65"/>
    <mergeCell ref="F61:G61"/>
    <mergeCell ref="F62:G62"/>
    <mergeCell ref="F42:G42"/>
    <mergeCell ref="F43:G43"/>
    <mergeCell ref="F44:G44"/>
    <mergeCell ref="F33:G33"/>
    <mergeCell ref="F34:G34"/>
    <mergeCell ref="F35:G35"/>
    <mergeCell ref="F36:G36"/>
    <mergeCell ref="F37:G37"/>
    <mergeCell ref="F38:G38"/>
    <mergeCell ref="F39:G39"/>
    <mergeCell ref="F40:G40"/>
    <mergeCell ref="F41:G41"/>
    <mergeCell ref="F55:G55"/>
    <mergeCell ref="F56:G56"/>
    <mergeCell ref="J28:K28"/>
    <mergeCell ref="J29:K29"/>
    <mergeCell ref="J30:K30"/>
    <mergeCell ref="J31:K31"/>
    <mergeCell ref="H58:I58"/>
    <mergeCell ref="H59:I59"/>
    <mergeCell ref="H60:I60"/>
    <mergeCell ref="H52:I52"/>
    <mergeCell ref="H53:I53"/>
    <mergeCell ref="H54:I54"/>
    <mergeCell ref="H55:I55"/>
    <mergeCell ref="H56:I56"/>
    <mergeCell ref="H57:I57"/>
    <mergeCell ref="H46:I46"/>
    <mergeCell ref="H47:I47"/>
    <mergeCell ref="H48:I48"/>
    <mergeCell ref="H49:I49"/>
    <mergeCell ref="H50:I50"/>
    <mergeCell ref="H51:I51"/>
    <mergeCell ref="H40:I40"/>
    <mergeCell ref="H41:I41"/>
    <mergeCell ref="H42:I42"/>
    <mergeCell ref="J32:K32"/>
    <mergeCell ref="J33:K33"/>
    <mergeCell ref="H64:I64"/>
    <mergeCell ref="H65:I65"/>
    <mergeCell ref="H66:I66"/>
    <mergeCell ref="H61:I61"/>
    <mergeCell ref="H62:I62"/>
    <mergeCell ref="H63:I63"/>
    <mergeCell ref="H44:I44"/>
    <mergeCell ref="H45:I45"/>
    <mergeCell ref="J58:K58"/>
    <mergeCell ref="J59:K59"/>
    <mergeCell ref="J60:K60"/>
    <mergeCell ref="J61:K61"/>
    <mergeCell ref="J38:K38"/>
    <mergeCell ref="J39:K39"/>
    <mergeCell ref="J40:K40"/>
    <mergeCell ref="J41:K41"/>
    <mergeCell ref="J42:K42"/>
    <mergeCell ref="J43:K43"/>
    <mergeCell ref="J56:K56"/>
    <mergeCell ref="J57:K57"/>
    <mergeCell ref="J34:K34"/>
    <mergeCell ref="J35:K35"/>
    <mergeCell ref="J36:K36"/>
    <mergeCell ref="J37:K37"/>
    <mergeCell ref="J47:K47"/>
    <mergeCell ref="J48:K48"/>
    <mergeCell ref="J50:K50"/>
    <mergeCell ref="J51:K51"/>
    <mergeCell ref="J52:K52"/>
    <mergeCell ref="J53:K53"/>
    <mergeCell ref="J54:K54"/>
    <mergeCell ref="J55:K55"/>
    <mergeCell ref="J49:K49"/>
    <mergeCell ref="J44:K44"/>
    <mergeCell ref="J45:K45"/>
    <mergeCell ref="J46:K46"/>
    <mergeCell ref="L28:N28"/>
    <mergeCell ref="L29:N29"/>
    <mergeCell ref="L30:N30"/>
    <mergeCell ref="L31:N31"/>
    <mergeCell ref="L32:N32"/>
    <mergeCell ref="L33:N33"/>
    <mergeCell ref="L17:N17"/>
    <mergeCell ref="L18:N18"/>
    <mergeCell ref="L19:N19"/>
    <mergeCell ref="L20:N20"/>
    <mergeCell ref="L21:N21"/>
    <mergeCell ref="L22:N22"/>
    <mergeCell ref="L40:N40"/>
    <mergeCell ref="L41:N41"/>
    <mergeCell ref="L42:N42"/>
    <mergeCell ref="L43:N43"/>
    <mergeCell ref="L44:N44"/>
    <mergeCell ref="L45:N45"/>
    <mergeCell ref="L34:N34"/>
    <mergeCell ref="L35:N35"/>
    <mergeCell ref="L36:N36"/>
    <mergeCell ref="L37:N37"/>
    <mergeCell ref="L38:N38"/>
    <mergeCell ref="L39:N39"/>
    <mergeCell ref="L53:N53"/>
    <mergeCell ref="L54:N54"/>
    <mergeCell ref="L55:N55"/>
    <mergeCell ref="L56:N56"/>
    <mergeCell ref="L57:N57"/>
    <mergeCell ref="L46:N46"/>
    <mergeCell ref="L47:N47"/>
    <mergeCell ref="L48:N48"/>
    <mergeCell ref="L49:N49"/>
    <mergeCell ref="L50:N50"/>
    <mergeCell ref="L51:N51"/>
    <mergeCell ref="F66:G66"/>
    <mergeCell ref="F67:G67"/>
    <mergeCell ref="D66:E66"/>
    <mergeCell ref="D67:E67"/>
    <mergeCell ref="D61:E61"/>
    <mergeCell ref="I12:J12"/>
    <mergeCell ref="L64:N64"/>
    <mergeCell ref="L65:N65"/>
    <mergeCell ref="L66:N66"/>
    <mergeCell ref="L67:N67"/>
    <mergeCell ref="L58:N58"/>
    <mergeCell ref="L59:N59"/>
    <mergeCell ref="L60:N60"/>
    <mergeCell ref="L61:N61"/>
    <mergeCell ref="L62:N62"/>
    <mergeCell ref="L63:N63"/>
    <mergeCell ref="J62:K62"/>
    <mergeCell ref="J63:K63"/>
    <mergeCell ref="J64:K64"/>
    <mergeCell ref="J65:K65"/>
    <mergeCell ref="J66:K66"/>
    <mergeCell ref="J67:K67"/>
    <mergeCell ref="H67:I67"/>
    <mergeCell ref="L52:N52"/>
  </mergeCells>
  <conditionalFormatting sqref="B17:N67">
    <cfRule type="expression" dxfId="8" priority="1">
      <formula>$V17</formula>
    </cfRule>
  </conditionalFormatting>
  <dataValidations disablePrompts="1" count="1">
    <dataValidation operator="lessThanOrEqual" allowBlank="1" showInputMessage="1" showErrorMessage="1" errorTitle="ERROR!!" error="No. of years cannot be more than 50!" sqref="F6:G6" xr:uid="{7CC67892-DCAB-4C56-BF32-D7B44C9F6680}"/>
  </dataValidations>
  <hyperlinks>
    <hyperlink ref="A2:A3" location="'Main Menu'!A1" tooltip="HOME" display="BACK" xr:uid="{958E5463-28FA-4D2F-BA2E-A1A1AE93D65A}"/>
  </hyperlinks>
  <printOptions horizontalCentered="1"/>
  <pageMargins left="0.23622047244094491" right="0.23622047244094491" top="0.23622047244094491" bottom="0.23622047244094491" header="0.31496062992125984" footer="0.31496062992125984"/>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25F9E-FFD1-4CCA-8EAB-1261740A2151}">
  <dimension ref="A1:P390"/>
  <sheetViews>
    <sheetView showGridLines="0" zoomScaleNormal="100" workbookViewId="0">
      <selection activeCell="A2" sqref="A2:A3"/>
    </sheetView>
  </sheetViews>
  <sheetFormatPr defaultColWidth="9.1796875" defaultRowHeight="0" customHeight="1" zeroHeight="1" x14ac:dyDescent="0.35"/>
  <cols>
    <col min="1" max="15" width="9.1796875" style="6" customWidth="1"/>
    <col min="16" max="16" width="1.1796875" style="6" customWidth="1"/>
    <col min="17" max="17" width="9.1796875" customWidth="1"/>
    <col min="18" max="18" width="16.1796875" customWidth="1"/>
    <col min="19" max="19" width="17" customWidth="1"/>
    <col min="20" max="20" width="17.453125" customWidth="1"/>
    <col min="21" max="21" width="21.453125" customWidth="1"/>
    <col min="22" max="22" width="17.81640625" customWidth="1"/>
    <col min="23" max="23" width="9.1796875" customWidth="1"/>
    <col min="24" max="24" width="16.1796875" customWidth="1"/>
    <col min="25" max="25" width="17" customWidth="1"/>
    <col min="26" max="26" width="17.453125" customWidth="1"/>
    <col min="27" max="27" width="21.453125" customWidth="1"/>
    <col min="28" max="28" width="17.81640625" customWidth="1"/>
    <col min="29" max="34" width="9.1796875" customWidth="1"/>
    <col min="35" max="35" width="22" customWidth="1"/>
    <col min="36" max="36" width="14" customWidth="1"/>
    <col min="37" max="37" width="19.26953125" customWidth="1"/>
    <col min="38" max="38" width="16.1796875" customWidth="1"/>
    <col min="39" max="39" width="18.81640625" customWidth="1"/>
    <col min="40" max="40" width="13.54296875" customWidth="1"/>
  </cols>
  <sheetData>
    <row r="1" spans="1:16" ht="14.5" x14ac:dyDescent="0.35"/>
    <row r="2" spans="1:16" ht="14.5" customHeight="1" x14ac:dyDescent="0.35">
      <c r="A2" s="289" t="s">
        <v>5</v>
      </c>
      <c r="B2" s="290" t="s">
        <v>2</v>
      </c>
      <c r="C2" s="290"/>
      <c r="D2" s="290"/>
      <c r="E2" s="290"/>
      <c r="F2" s="290"/>
      <c r="G2" s="290"/>
      <c r="H2" s="290"/>
      <c r="J2"/>
      <c r="K2"/>
      <c r="L2"/>
      <c r="M2"/>
      <c r="N2"/>
      <c r="O2"/>
    </row>
    <row r="3" spans="1:16" ht="14.5" customHeight="1" x14ac:dyDescent="0.35">
      <c r="A3" s="289"/>
      <c r="B3" s="291"/>
      <c r="C3" s="291"/>
      <c r="D3" s="291"/>
      <c r="E3" s="291"/>
      <c r="F3" s="291"/>
      <c r="G3" s="291"/>
      <c r="H3" s="291"/>
      <c r="J3"/>
      <c r="K3"/>
      <c r="L3"/>
      <c r="M3"/>
      <c r="N3"/>
      <c r="O3"/>
    </row>
    <row r="4" spans="1:16" ht="14.5" x14ac:dyDescent="0.35">
      <c r="B4" s="6" t="s">
        <v>127</v>
      </c>
      <c r="J4"/>
      <c r="K4"/>
      <c r="L4"/>
      <c r="M4"/>
      <c r="N4"/>
      <c r="O4"/>
    </row>
    <row r="5" spans="1:16" ht="15" thickBot="1" x14ac:dyDescent="0.4"/>
    <row r="6" spans="1:16" ht="20.149999999999999" customHeight="1" thickTop="1" x14ac:dyDescent="0.35">
      <c r="B6" s="609" t="str">
        <f>UPPER("Original home loan details")</f>
        <v>ORIGINAL HOME LOAN DETAILS</v>
      </c>
      <c r="C6" s="610"/>
      <c r="D6" s="610"/>
      <c r="E6" s="610"/>
      <c r="F6" s="610"/>
      <c r="G6" s="610"/>
      <c r="H6" s="611"/>
      <c r="J6" s="601" t="str">
        <f>"After "&amp;G10&amp;" Months (Or "&amp;QUOTIENT(G10,12)&amp;" Y) "&amp;IF(MOD(G10,12)=0,"",MOD(G10,12)&amp;" M)")</f>
        <v xml:space="preserve">After 240 Months (Or 20 Y) </v>
      </c>
      <c r="K6" s="601"/>
      <c r="L6" s="601"/>
      <c r="M6" s="601"/>
      <c r="N6" s="601"/>
      <c r="O6" s="601"/>
    </row>
    <row r="7" spans="1:16" ht="20.149999999999999" customHeight="1" x14ac:dyDescent="0.35">
      <c r="B7" s="133" t="s">
        <v>311</v>
      </c>
      <c r="C7" s="29"/>
      <c r="D7" s="29"/>
      <c r="E7" s="29"/>
      <c r="F7" s="29"/>
      <c r="G7" s="293">
        <v>6000000</v>
      </c>
      <c r="H7" s="590"/>
      <c r="J7" s="582" t="s">
        <v>131</v>
      </c>
      <c r="K7" s="583"/>
      <c r="L7" s="583"/>
      <c r="M7" s="583"/>
      <c r="N7" s="583"/>
      <c r="O7" s="584"/>
      <c r="P7" s="13"/>
    </row>
    <row r="8" spans="1:16" ht="20.149999999999999" customHeight="1" x14ac:dyDescent="0.35">
      <c r="B8" s="128" t="s">
        <v>312</v>
      </c>
      <c r="C8" s="29"/>
      <c r="D8" s="29"/>
      <c r="E8" s="29"/>
      <c r="F8" s="29"/>
      <c r="G8" s="520">
        <v>0.09</v>
      </c>
      <c r="H8" s="608"/>
      <c r="I8" s="21"/>
      <c r="J8" s="585" t="s">
        <v>132</v>
      </c>
      <c r="K8" s="586"/>
      <c r="L8" s="586"/>
      <c r="M8" s="586"/>
      <c r="N8" s="586"/>
      <c r="O8" s="587"/>
      <c r="P8" s="13"/>
    </row>
    <row r="9" spans="1:16" ht="20.149999999999999" customHeight="1" x14ac:dyDescent="0.35">
      <c r="B9" s="133" t="s">
        <v>385</v>
      </c>
      <c r="C9" s="29"/>
      <c r="D9" s="29"/>
      <c r="E9" s="29"/>
      <c r="F9" s="29"/>
      <c r="G9" s="293">
        <v>58000</v>
      </c>
      <c r="H9" s="590"/>
      <c r="J9" s="134" t="s">
        <v>133</v>
      </c>
      <c r="K9" s="69"/>
      <c r="L9" s="69"/>
      <c r="M9" s="69"/>
      <c r="N9" s="595">
        <f>(G10)*G9</f>
        <v>13920000</v>
      </c>
      <c r="O9" s="596"/>
      <c r="P9" s="13"/>
    </row>
    <row r="10" spans="1:16" ht="20.149999999999999" customHeight="1" x14ac:dyDescent="0.35">
      <c r="B10" s="215" t="s">
        <v>383</v>
      </c>
      <c r="C10" s="129"/>
      <c r="D10" s="129"/>
      <c r="E10" s="129"/>
      <c r="F10" s="129"/>
      <c r="G10" s="606">
        <v>240</v>
      </c>
      <c r="H10" s="607"/>
      <c r="J10" s="134" t="s">
        <v>134</v>
      </c>
      <c r="K10" s="70"/>
      <c r="L10" s="70"/>
      <c r="M10" s="70"/>
      <c r="N10" s="597">
        <v>0</v>
      </c>
      <c r="O10" s="598"/>
      <c r="P10" s="13"/>
    </row>
    <row r="11" spans="1:16" ht="20.149999999999999" customHeight="1" thickBot="1" x14ac:dyDescent="0.4">
      <c r="B11" s="216" t="s">
        <v>384</v>
      </c>
      <c r="C11" s="131"/>
      <c r="D11" s="131"/>
      <c r="E11" s="131"/>
      <c r="F11" s="66"/>
      <c r="G11" s="591" t="str">
        <f>QUOTIENT(G10,12)&amp;" Y "&amp;IF(MOD(G10,12)=0,"",MOD(G10,12)&amp;" M")</f>
        <v xml:space="preserve">20 Y </v>
      </c>
      <c r="H11" s="592"/>
      <c r="J11" s="134" t="s">
        <v>135</v>
      </c>
      <c r="K11" s="69"/>
      <c r="L11" s="69"/>
      <c r="M11" s="69"/>
      <c r="N11" s="612">
        <v>0</v>
      </c>
      <c r="O11" s="613"/>
      <c r="P11" s="13"/>
    </row>
    <row r="12" spans="1:16" ht="20.149999999999999" customHeight="1" thickTop="1" thickBot="1" x14ac:dyDescent="0.4">
      <c r="C12" s="124"/>
      <c r="D12" s="124"/>
      <c r="P12" s="13"/>
    </row>
    <row r="13" spans="1:16" ht="20.149999999999999" customHeight="1" thickTop="1" x14ac:dyDescent="0.35">
      <c r="B13" s="614" t="str">
        <f t="shared" ref="B13" si="0">UPPER("Revised home loan details")</f>
        <v>REVISED HOME LOAN DETAILS</v>
      </c>
      <c r="C13" s="615"/>
      <c r="D13" s="615"/>
      <c r="E13" s="615"/>
      <c r="F13" s="615"/>
      <c r="G13" s="615"/>
      <c r="H13" s="616"/>
      <c r="J13" s="601" t="str">
        <f>"After "&amp;G10&amp;" Months (Or "&amp;QUOTIENT(G10,12)&amp;" Y) "&amp;IF(MOD(G10,12)=0,"",MOD(G10,12)&amp;" M)")</f>
        <v xml:space="preserve">After 240 Months (Or 20 Y) </v>
      </c>
      <c r="K13" s="601"/>
      <c r="L13" s="601"/>
      <c r="M13" s="601"/>
      <c r="N13" s="601"/>
      <c r="O13" s="601"/>
      <c r="P13" s="13"/>
    </row>
    <row r="14" spans="1:16" ht="20.149999999999999" customHeight="1" x14ac:dyDescent="0.35">
      <c r="B14" s="128" t="s">
        <v>320</v>
      </c>
      <c r="C14" s="8"/>
      <c r="D14" s="8"/>
      <c r="E14" s="8"/>
      <c r="F14" s="29"/>
      <c r="G14" s="619">
        <v>30</v>
      </c>
      <c r="H14" s="620"/>
      <c r="J14" s="582" t="s">
        <v>136</v>
      </c>
      <c r="K14" s="583"/>
      <c r="L14" s="583"/>
      <c r="M14" s="583"/>
      <c r="N14" s="583"/>
      <c r="O14" s="584"/>
      <c r="P14" s="13"/>
    </row>
    <row r="15" spans="1:16" ht="20.149999999999999" customHeight="1" x14ac:dyDescent="0.35">
      <c r="B15" s="128" t="s">
        <v>137</v>
      </c>
      <c r="C15" s="29"/>
      <c r="D15" s="29"/>
      <c r="E15" s="29"/>
      <c r="F15" s="29"/>
      <c r="G15" s="602">
        <v>0.09</v>
      </c>
      <c r="H15" s="603"/>
      <c r="J15" s="604" t="str">
        <f>"and SIP investment was made for "&amp;G10&amp;" months"</f>
        <v>and SIP investment was made for 240 months</v>
      </c>
      <c r="K15" s="438"/>
      <c r="L15" s="438"/>
      <c r="M15" s="438"/>
      <c r="N15" s="438"/>
      <c r="O15" s="605"/>
      <c r="P15" s="13"/>
    </row>
    <row r="16" spans="1:16" ht="20.149999999999999" customHeight="1" thickBot="1" x14ac:dyDescent="0.4">
      <c r="B16" s="130" t="s">
        <v>386</v>
      </c>
      <c r="C16" s="132"/>
      <c r="D16" s="132"/>
      <c r="E16" s="132"/>
      <c r="F16" s="132"/>
      <c r="G16" s="591">
        <f>PMT((1+G15/12)^(1)-1,G14*12,-G7,,0)</f>
        <v>48277.357016687281</v>
      </c>
      <c r="H16" s="592"/>
      <c r="J16" s="134" t="s">
        <v>133</v>
      </c>
      <c r="K16" s="69"/>
      <c r="L16" s="69"/>
      <c r="M16" s="69"/>
      <c r="N16" s="595">
        <f>(G10)*(G16+G19)</f>
        <v>13920000</v>
      </c>
      <c r="O16" s="596"/>
      <c r="P16" s="13"/>
    </row>
    <row r="17" spans="1:16" ht="20.149999999999999" customHeight="1" thickTop="1" thickBot="1" x14ac:dyDescent="0.4">
      <c r="A17" s="9"/>
      <c r="B17" s="9"/>
      <c r="C17" s="9"/>
      <c r="D17" s="9"/>
      <c r="E17" s="9"/>
      <c r="F17" s="9"/>
      <c r="G17" s="9"/>
      <c r="H17" s="9"/>
      <c r="J17" s="134" t="s">
        <v>316</v>
      </c>
      <c r="K17" s="70"/>
      <c r="L17" s="70"/>
      <c r="M17" s="70"/>
      <c r="N17" s="597">
        <f>VLOOKUP(G10,$B$27:$L$386,8,0)</f>
        <v>3811096.2804827052</v>
      </c>
      <c r="O17" s="598"/>
      <c r="P17" s="13"/>
    </row>
    <row r="18" spans="1:16" ht="20.149999999999999" customHeight="1" thickTop="1" x14ac:dyDescent="0.35">
      <c r="A18" s="9"/>
      <c r="B18" s="125" t="str">
        <f>UPPER("SIP details")</f>
        <v>SIP DETAILS</v>
      </c>
      <c r="C18" s="126"/>
      <c r="D18" s="126"/>
      <c r="E18" s="126"/>
      <c r="F18" s="126"/>
      <c r="G18" s="126"/>
      <c r="H18" s="127"/>
      <c r="J18" s="134" t="s">
        <v>317</v>
      </c>
      <c r="K18" s="69"/>
      <c r="L18" s="69"/>
      <c r="M18" s="69"/>
      <c r="N18" s="597">
        <f>VLOOKUP(G10,$B$27:$L$386,10,0)</f>
        <v>8943444.665555967</v>
      </c>
      <c r="O18" s="598"/>
      <c r="P18" s="13"/>
    </row>
    <row r="19" spans="1:16" ht="20.149999999999999" customHeight="1" x14ac:dyDescent="0.35">
      <c r="A19" s="9"/>
      <c r="B19" s="133" t="s">
        <v>387</v>
      </c>
      <c r="C19" s="129"/>
      <c r="D19" s="129"/>
      <c r="E19" s="129"/>
      <c r="F19" s="129"/>
      <c r="G19" s="621">
        <f>G9-G16</f>
        <v>9722.6429833127186</v>
      </c>
      <c r="H19" s="622"/>
      <c r="J19" s="134" t="s">
        <v>318</v>
      </c>
      <c r="K19" s="69"/>
      <c r="L19" s="69"/>
      <c r="M19" s="69"/>
      <c r="N19" s="599">
        <f>N18-N17</f>
        <v>5132348.3850732613</v>
      </c>
      <c r="O19" s="600"/>
      <c r="P19" s="13"/>
    </row>
    <row r="20" spans="1:16" ht="20.149999999999999" customHeight="1" x14ac:dyDescent="0.35">
      <c r="A20" s="9"/>
      <c r="B20" s="128" t="s">
        <v>138</v>
      </c>
      <c r="C20" s="29"/>
      <c r="D20" s="29"/>
      <c r="E20" s="29"/>
      <c r="F20" s="29"/>
      <c r="G20" s="593">
        <v>0.12</v>
      </c>
      <c r="H20" s="594"/>
      <c r="J20" s="135" t="s">
        <v>346</v>
      </c>
      <c r="K20" s="10"/>
      <c r="L20" s="10"/>
      <c r="M20" s="10"/>
      <c r="N20" s="625" t="str">
        <f>QUOTIENT(O21,12)&amp;" Y "&amp;IF(MOD(O21,12)=0,"",MOD(O21,12)&amp;" M")</f>
        <v>15 Y 2 M</v>
      </c>
      <c r="O20" s="626"/>
      <c r="P20" s="13"/>
    </row>
    <row r="21" spans="1:16" ht="20.149999999999999" customHeight="1" x14ac:dyDescent="0.35">
      <c r="A21" s="9"/>
      <c r="B21" s="9"/>
      <c r="C21" s="9"/>
      <c r="D21" s="9"/>
      <c r="E21" s="9"/>
      <c r="F21" s="9"/>
      <c r="G21" s="9"/>
      <c r="H21" s="9"/>
      <c r="J21"/>
      <c r="K21"/>
      <c r="L21"/>
      <c r="M21"/>
      <c r="N21"/>
      <c r="O21" s="217">
        <f>INDEX($B$27:$B$386,MATCH("YES",$M$27:$M$386,0))</f>
        <v>182</v>
      </c>
      <c r="P21" s="13"/>
    </row>
    <row r="22" spans="1:16" ht="20.149999999999999" customHeight="1" x14ac:dyDescent="0.35">
      <c r="A22" s="9"/>
      <c r="B22" s="9" t="s">
        <v>255</v>
      </c>
      <c r="C22" s="9"/>
      <c r="D22" s="279" t="str">
        <f>" "&amp;UPPER('Main Menu'!C29)</f>
        <v xml:space="preserve"> CLIENT NAME</v>
      </c>
      <c r="E22" s="279"/>
      <c r="F22" s="279"/>
      <c r="G22" s="279"/>
      <c r="H22" s="279"/>
      <c r="I22" s="586" t="s">
        <v>256</v>
      </c>
      <c r="J22" s="586"/>
      <c r="K22" s="101" t="str">
        <f>" "&amp;UPPER('Main Menu'!L29)</f>
        <v xml:space="preserve"> PARTNER NAME</v>
      </c>
      <c r="L22" s="101"/>
      <c r="M22" s="101"/>
      <c r="N22" s="101"/>
      <c r="O22" s="101"/>
      <c r="P22" s="13"/>
    </row>
    <row r="23" spans="1:16" ht="20.149999999999999" customHeight="1" x14ac:dyDescent="0.35">
      <c r="A23" s="9"/>
      <c r="B23" s="9"/>
      <c r="C23" s="9"/>
      <c r="D23" s="9"/>
      <c r="E23" s="9"/>
      <c r="F23" s="9"/>
      <c r="G23" s="9"/>
      <c r="H23" s="9"/>
      <c r="I23" s="9"/>
      <c r="J23"/>
      <c r="K23" s="9"/>
      <c r="L23" s="9"/>
      <c r="M23" s="9"/>
      <c r="N23" s="53" t="str">
        <f ca="1">"Dated: "&amp; TEXT(TODAY(),"DD-MMM-YYYY")</f>
        <v>Dated: 28-Aug-2025</v>
      </c>
      <c r="O23" s="9"/>
      <c r="P23" s="9"/>
    </row>
    <row r="24" spans="1:16" ht="20.149999999999999" customHeight="1" x14ac:dyDescent="0.35">
      <c r="A24" s="9"/>
      <c r="B24" s="9" t="s">
        <v>315</v>
      </c>
      <c r="C24"/>
      <c r="D24"/>
      <c r="E24"/>
      <c r="F24"/>
      <c r="G24"/>
      <c r="H24"/>
      <c r="J24"/>
      <c r="K24"/>
      <c r="L24"/>
      <c r="M24"/>
      <c r="N24"/>
      <c r="O24"/>
      <c r="P24" s="9"/>
    </row>
    <row r="25" spans="1:16" ht="20.149999999999999" customHeight="1" x14ac:dyDescent="0.35">
      <c r="A25" s="9"/>
      <c r="B25" s="136" t="s">
        <v>128</v>
      </c>
      <c r="C25" s="623" t="s">
        <v>319</v>
      </c>
      <c r="D25" s="624"/>
      <c r="E25" s="623" t="s">
        <v>129</v>
      </c>
      <c r="F25" s="624"/>
      <c r="G25" s="588" t="s">
        <v>130</v>
      </c>
      <c r="H25" s="589"/>
      <c r="I25" s="588" t="s">
        <v>313</v>
      </c>
      <c r="J25" s="589"/>
      <c r="K25" s="623" t="s">
        <v>139</v>
      </c>
      <c r="L25" s="624"/>
      <c r="M25" s="627" t="s">
        <v>314</v>
      </c>
      <c r="N25" s="628"/>
      <c r="O25" s="629"/>
      <c r="P25" s="9"/>
    </row>
    <row r="26" spans="1:16" ht="20.149999999999999" customHeight="1" x14ac:dyDescent="0.35">
      <c r="A26" s="9"/>
      <c r="B26" s="19">
        <v>0</v>
      </c>
      <c r="C26" s="635"/>
      <c r="D26" s="635"/>
      <c r="E26" s="618"/>
      <c r="F26" s="618"/>
      <c r="G26" s="631"/>
      <c r="H26" s="631"/>
      <c r="I26" s="632">
        <f>G7</f>
        <v>6000000</v>
      </c>
      <c r="J26" s="632"/>
      <c r="K26" s="631"/>
      <c r="L26" s="631"/>
      <c r="M26" s="618"/>
      <c r="N26" s="618"/>
      <c r="O26" s="618"/>
      <c r="P26" s="9"/>
    </row>
    <row r="27" spans="1:16" ht="20.149999999999999" customHeight="1" x14ac:dyDescent="0.35">
      <c r="A27" s="217" t="s">
        <v>361</v>
      </c>
      <c r="B27" s="19">
        <f>IF(B26="","",IF(B26+1&gt;$G$14*12,"",B26+1))</f>
        <v>1</v>
      </c>
      <c r="C27" s="634">
        <f>IF(B27="","",$G$16)</f>
        <v>48277.357016687281</v>
      </c>
      <c r="D27" s="631"/>
      <c r="E27" s="617">
        <f t="shared" ref="E27" si="1">IF(B27="","",I26*$G$15/12)</f>
        <v>45000</v>
      </c>
      <c r="F27" s="617"/>
      <c r="G27" s="630">
        <f>IF(B27="","",$G$16-E27)</f>
        <v>3277.3570166872814</v>
      </c>
      <c r="H27" s="630"/>
      <c r="I27" s="617">
        <f t="shared" ref="I27" si="2">IF(B27="","",I26-G27)</f>
        <v>5996722.6429833127</v>
      </c>
      <c r="J27" s="617"/>
      <c r="K27" s="630">
        <f t="shared" ref="K27" si="3">IF(B27="","",FV((1+$G$20)^(1/12)-1,1,-$G$19,-K26,1))</f>
        <v>9814.8991293582494</v>
      </c>
      <c r="L27" s="630"/>
      <c r="M27" s="633" t="str">
        <f t="shared" ref="M27" si="4">IF(B27="","",IF(K27&gt;=I27,"YES","NO"))</f>
        <v>NO</v>
      </c>
      <c r="N27" s="633"/>
      <c r="O27" s="633"/>
      <c r="P27" s="9"/>
    </row>
    <row r="28" spans="1:16" ht="20.149999999999999" customHeight="1" x14ac:dyDescent="0.35">
      <c r="A28" s="217" t="s">
        <v>360</v>
      </c>
      <c r="B28" s="19">
        <f t="shared" ref="B28:B91" si="5">IF(B27="","",IF(B27+1&gt;$G$14*12,"",B27+1))</f>
        <v>2</v>
      </c>
      <c r="C28" s="634">
        <f t="shared" ref="C28:C91" si="6">IF(B28="","",$G$16)</f>
        <v>48277.357016687281</v>
      </c>
      <c r="D28" s="631"/>
      <c r="E28" s="617">
        <f t="shared" ref="E28:E91" si="7">IF(B28="","",I27*$G$15/12)</f>
        <v>44975.419822374846</v>
      </c>
      <c r="F28" s="617"/>
      <c r="G28" s="630">
        <f t="shared" ref="G28:G91" si="8">IF(B28="","",$G$16-E28)</f>
        <v>3301.9371943124352</v>
      </c>
      <c r="H28" s="630"/>
      <c r="I28" s="617">
        <f t="shared" ref="I28:I91" si="9">IF(B28="","",I27-G28)</f>
        <v>5993420.7057890007</v>
      </c>
      <c r="J28" s="617"/>
      <c r="K28" s="630">
        <f t="shared" ref="K28:K91" si="10">IF(B28="","",FV((1+$G$20)^(1/12)-1,1,-$G$19,-K27,1))</f>
        <v>19722.929804228799</v>
      </c>
      <c r="L28" s="630"/>
      <c r="M28" s="633" t="str">
        <f t="shared" ref="M28:M91" si="11">IF(B28="","",IF(K28&gt;=I28,"YES","NO"))</f>
        <v>NO</v>
      </c>
      <c r="N28" s="633"/>
      <c r="O28" s="633"/>
      <c r="P28" s="9"/>
    </row>
    <row r="29" spans="1:16" ht="20.149999999999999" customHeight="1" x14ac:dyDescent="0.35">
      <c r="A29" s="217" t="s">
        <v>361</v>
      </c>
      <c r="B29" s="19">
        <f t="shared" si="5"/>
        <v>3</v>
      </c>
      <c r="C29" s="634">
        <f t="shared" si="6"/>
        <v>48277.357016687281</v>
      </c>
      <c r="D29" s="631"/>
      <c r="E29" s="617">
        <f t="shared" si="7"/>
        <v>44950.655293417505</v>
      </c>
      <c r="F29" s="617"/>
      <c r="G29" s="630">
        <f t="shared" si="8"/>
        <v>3326.7017232697763</v>
      </c>
      <c r="H29" s="630"/>
      <c r="I29" s="617">
        <f t="shared" si="9"/>
        <v>5990094.0040657306</v>
      </c>
      <c r="J29" s="617"/>
      <c r="K29" s="630">
        <f t="shared" si="10"/>
        <v>29724.975730562692</v>
      </c>
      <c r="L29" s="630"/>
      <c r="M29" s="633" t="str">
        <f t="shared" si="11"/>
        <v>NO</v>
      </c>
      <c r="N29" s="633"/>
      <c r="O29" s="633"/>
      <c r="P29" s="9"/>
    </row>
    <row r="30" spans="1:16" ht="20.149999999999999" customHeight="1" x14ac:dyDescent="0.35">
      <c r="A30" s="217" t="s">
        <v>360</v>
      </c>
      <c r="B30" s="19">
        <f t="shared" si="5"/>
        <v>4</v>
      </c>
      <c r="C30" s="634">
        <f t="shared" si="6"/>
        <v>48277.357016687281</v>
      </c>
      <c r="D30" s="631"/>
      <c r="E30" s="617">
        <f t="shared" si="7"/>
        <v>44925.70503049298</v>
      </c>
      <c r="F30" s="617"/>
      <c r="G30" s="630">
        <f t="shared" si="8"/>
        <v>3351.6519861943016</v>
      </c>
      <c r="H30" s="630"/>
      <c r="I30" s="617">
        <f t="shared" si="9"/>
        <v>5986742.3520795368</v>
      </c>
      <c r="J30" s="617"/>
      <c r="K30" s="630">
        <f t="shared" si="10"/>
        <v>39821.92899961376</v>
      </c>
      <c r="L30" s="630"/>
      <c r="M30" s="633" t="str">
        <f t="shared" si="11"/>
        <v>NO</v>
      </c>
      <c r="N30" s="633"/>
      <c r="O30" s="633"/>
      <c r="P30" s="9"/>
    </row>
    <row r="31" spans="1:16" ht="20.149999999999999" customHeight="1" x14ac:dyDescent="0.35">
      <c r="A31" s="217" t="s">
        <v>361</v>
      </c>
      <c r="B31" s="19">
        <f t="shared" si="5"/>
        <v>5</v>
      </c>
      <c r="C31" s="634">
        <f t="shared" si="6"/>
        <v>48277.357016687281</v>
      </c>
      <c r="D31" s="631"/>
      <c r="E31" s="617">
        <f t="shared" si="7"/>
        <v>44900.567640596528</v>
      </c>
      <c r="F31" s="617"/>
      <c r="G31" s="630">
        <f t="shared" si="8"/>
        <v>3376.7893760907536</v>
      </c>
      <c r="H31" s="630"/>
      <c r="I31" s="617">
        <f t="shared" si="9"/>
        <v>5983365.5627034456</v>
      </c>
      <c r="J31" s="617"/>
      <c r="K31" s="630">
        <f t="shared" si="10"/>
        <v>50014.69016750501</v>
      </c>
      <c r="L31" s="630"/>
      <c r="M31" s="633" t="str">
        <f t="shared" si="11"/>
        <v>NO</v>
      </c>
      <c r="N31" s="633"/>
      <c r="O31" s="633"/>
    </row>
    <row r="32" spans="1:16" ht="20.149999999999999" customHeight="1" x14ac:dyDescent="0.35">
      <c r="A32" s="217" t="s">
        <v>360</v>
      </c>
      <c r="B32" s="19">
        <f t="shared" si="5"/>
        <v>6</v>
      </c>
      <c r="C32" s="634">
        <f t="shared" si="6"/>
        <v>48277.357016687281</v>
      </c>
      <c r="D32" s="631"/>
      <c r="E32" s="617">
        <f t="shared" si="7"/>
        <v>44875.241720275837</v>
      </c>
      <c r="F32" s="617"/>
      <c r="G32" s="630">
        <f t="shared" si="8"/>
        <v>3402.1152964114444</v>
      </c>
      <c r="H32" s="630"/>
      <c r="I32" s="617">
        <f t="shared" si="9"/>
        <v>5979963.4474070342</v>
      </c>
      <c r="J32" s="617"/>
      <c r="K32" s="630">
        <f t="shared" si="10"/>
        <v>60304.168335550043</v>
      </c>
      <c r="L32" s="630"/>
      <c r="M32" s="633" t="str">
        <f t="shared" si="11"/>
        <v>NO</v>
      </c>
      <c r="N32" s="633"/>
      <c r="O32" s="633"/>
    </row>
    <row r="33" spans="1:15" ht="20.149999999999999" customHeight="1" x14ac:dyDescent="0.35">
      <c r="A33" s="217" t="s">
        <v>361</v>
      </c>
      <c r="B33" s="19">
        <f t="shared" si="5"/>
        <v>7</v>
      </c>
      <c r="C33" s="634">
        <f t="shared" si="6"/>
        <v>48277.357016687281</v>
      </c>
      <c r="D33" s="631"/>
      <c r="E33" s="617">
        <f t="shared" si="7"/>
        <v>44849.725855552759</v>
      </c>
      <c r="F33" s="617"/>
      <c r="G33" s="630">
        <f t="shared" si="8"/>
        <v>3427.6311611345227</v>
      </c>
      <c r="H33" s="630"/>
      <c r="I33" s="617">
        <f t="shared" si="9"/>
        <v>5976535.8162458995</v>
      </c>
      <c r="J33" s="617"/>
      <c r="K33" s="630">
        <f t="shared" si="10"/>
        <v>70691.281231336558</v>
      </c>
      <c r="L33" s="630"/>
      <c r="M33" s="633" t="str">
        <f t="shared" si="11"/>
        <v>NO</v>
      </c>
      <c r="N33" s="633"/>
      <c r="O33" s="633"/>
    </row>
    <row r="34" spans="1:15" ht="20.149999999999999" customHeight="1" x14ac:dyDescent="0.35">
      <c r="A34" s="217" t="s">
        <v>360</v>
      </c>
      <c r="B34" s="19">
        <f t="shared" si="5"/>
        <v>8</v>
      </c>
      <c r="C34" s="634">
        <f t="shared" si="6"/>
        <v>48277.357016687281</v>
      </c>
      <c r="D34" s="631"/>
      <c r="E34" s="617">
        <f t="shared" si="7"/>
        <v>44824.018621844247</v>
      </c>
      <c r="F34" s="617"/>
      <c r="G34" s="630">
        <f t="shared" si="8"/>
        <v>3453.3383948430346</v>
      </c>
      <c r="H34" s="630"/>
      <c r="I34" s="617">
        <f t="shared" si="9"/>
        <v>5973082.4778510565</v>
      </c>
      <c r="J34" s="617"/>
      <c r="K34" s="630">
        <f t="shared" si="10"/>
        <v>81176.955290579339</v>
      </c>
      <c r="L34" s="630"/>
      <c r="M34" s="633" t="str">
        <f t="shared" si="11"/>
        <v>NO</v>
      </c>
      <c r="N34" s="633"/>
      <c r="O34" s="633"/>
    </row>
    <row r="35" spans="1:15" ht="20.149999999999999" customHeight="1" x14ac:dyDescent="0.35">
      <c r="A35" s="217" t="s">
        <v>361</v>
      </c>
      <c r="B35" s="19">
        <f t="shared" si="5"/>
        <v>9</v>
      </c>
      <c r="C35" s="634">
        <f t="shared" si="6"/>
        <v>48277.357016687281</v>
      </c>
      <c r="D35" s="631"/>
      <c r="E35" s="617">
        <f t="shared" si="7"/>
        <v>44798.118583882926</v>
      </c>
      <c r="F35" s="617"/>
      <c r="G35" s="630">
        <f t="shared" si="8"/>
        <v>3479.2384328043554</v>
      </c>
      <c r="H35" s="630"/>
      <c r="I35" s="617">
        <f t="shared" si="9"/>
        <v>5969603.2394182524</v>
      </c>
      <c r="J35" s="617"/>
      <c r="K35" s="630">
        <f t="shared" si="10"/>
        <v>91762.125739749798</v>
      </c>
      <c r="L35" s="630"/>
      <c r="M35" s="633" t="str">
        <f t="shared" si="11"/>
        <v>NO</v>
      </c>
      <c r="N35" s="633"/>
      <c r="O35" s="633"/>
    </row>
    <row r="36" spans="1:15" ht="20.149999999999999" customHeight="1" x14ac:dyDescent="0.35">
      <c r="A36" s="217" t="s">
        <v>360</v>
      </c>
      <c r="B36" s="19">
        <f t="shared" si="5"/>
        <v>10</v>
      </c>
      <c r="C36" s="634">
        <f t="shared" si="6"/>
        <v>48277.357016687281</v>
      </c>
      <c r="D36" s="631"/>
      <c r="E36" s="617">
        <f t="shared" si="7"/>
        <v>44772.024295636889</v>
      </c>
      <c r="F36" s="617"/>
      <c r="G36" s="630">
        <f t="shared" si="8"/>
        <v>3505.3327210503921</v>
      </c>
      <c r="H36" s="630"/>
      <c r="I36" s="617">
        <f t="shared" si="9"/>
        <v>5966097.9066972015</v>
      </c>
      <c r="J36" s="617"/>
      <c r="K36" s="630">
        <f t="shared" si="10"/>
        <v>102447.73667948971</v>
      </c>
      <c r="L36" s="630"/>
      <c r="M36" s="633" t="str">
        <f t="shared" si="11"/>
        <v>NO</v>
      </c>
      <c r="N36" s="633"/>
      <c r="O36" s="633"/>
    </row>
    <row r="37" spans="1:15" ht="20.149999999999999" customHeight="1" x14ac:dyDescent="0.35">
      <c r="A37" s="217" t="s">
        <v>361</v>
      </c>
      <c r="B37" s="19">
        <f t="shared" si="5"/>
        <v>11</v>
      </c>
      <c r="C37" s="634">
        <f t="shared" si="6"/>
        <v>48277.357016687281</v>
      </c>
      <c r="D37" s="631"/>
      <c r="E37" s="617">
        <f t="shared" si="7"/>
        <v>44745.734300229007</v>
      </c>
      <c r="F37" s="617"/>
      <c r="G37" s="630">
        <f t="shared" si="8"/>
        <v>3531.6227164582742</v>
      </c>
      <c r="H37" s="630"/>
      <c r="I37" s="617">
        <f t="shared" si="9"/>
        <v>5962566.283980743</v>
      </c>
      <c r="J37" s="617"/>
      <c r="K37" s="630">
        <f t="shared" si="10"/>
        <v>113234.74116881633</v>
      </c>
      <c r="L37" s="630"/>
      <c r="M37" s="633" t="str">
        <f t="shared" si="11"/>
        <v>NO</v>
      </c>
      <c r="N37" s="633"/>
      <c r="O37" s="633"/>
    </row>
    <row r="38" spans="1:15" ht="20.149999999999999" customHeight="1" x14ac:dyDescent="0.35">
      <c r="A38" s="217" t="s">
        <v>360</v>
      </c>
      <c r="B38" s="19">
        <f t="shared" si="5"/>
        <v>12</v>
      </c>
      <c r="C38" s="634">
        <f t="shared" si="6"/>
        <v>48277.357016687281</v>
      </c>
      <c r="D38" s="631"/>
      <c r="E38" s="617">
        <f t="shared" si="7"/>
        <v>44719.247129855568</v>
      </c>
      <c r="F38" s="617"/>
      <c r="G38" s="630">
        <f t="shared" si="8"/>
        <v>3558.1098868317131</v>
      </c>
      <c r="H38" s="630"/>
      <c r="I38" s="617">
        <f t="shared" si="9"/>
        <v>5959008.1740939114</v>
      </c>
      <c r="J38" s="617"/>
      <c r="K38" s="630">
        <f t="shared" si="10"/>
        <v>124124.10131012659</v>
      </c>
      <c r="L38" s="630"/>
      <c r="M38" s="633" t="str">
        <f t="shared" si="11"/>
        <v>NO</v>
      </c>
      <c r="N38" s="633"/>
      <c r="O38" s="633"/>
    </row>
    <row r="39" spans="1:15" ht="20.149999999999999" customHeight="1" x14ac:dyDescent="0.35">
      <c r="A39" s="217" t="s">
        <v>361</v>
      </c>
      <c r="B39" s="19">
        <f t="shared" si="5"/>
        <v>13</v>
      </c>
      <c r="C39" s="634">
        <f t="shared" si="6"/>
        <v>48277.357016687281</v>
      </c>
      <c r="D39" s="631"/>
      <c r="E39" s="617">
        <f t="shared" si="7"/>
        <v>44692.56130570433</v>
      </c>
      <c r="F39" s="617"/>
      <c r="G39" s="630">
        <f t="shared" si="8"/>
        <v>3584.7957109829513</v>
      </c>
      <c r="H39" s="630"/>
      <c r="I39" s="617">
        <f t="shared" si="9"/>
        <v>5955423.3783829287</v>
      </c>
      <c r="J39" s="617"/>
      <c r="K39" s="630">
        <f t="shared" si="10"/>
        <v>135116.78833500782</v>
      </c>
      <c r="L39" s="630"/>
      <c r="M39" s="633" t="str">
        <f t="shared" si="11"/>
        <v>NO</v>
      </c>
      <c r="N39" s="633"/>
      <c r="O39" s="633"/>
    </row>
    <row r="40" spans="1:15" ht="20.149999999999999" customHeight="1" x14ac:dyDescent="0.35">
      <c r="A40" s="217" t="s">
        <v>360</v>
      </c>
      <c r="B40" s="19">
        <f t="shared" si="5"/>
        <v>14</v>
      </c>
      <c r="C40" s="634">
        <f t="shared" si="6"/>
        <v>48277.357016687281</v>
      </c>
      <c r="D40" s="631"/>
      <c r="E40" s="617">
        <f t="shared" si="7"/>
        <v>44665.675337871966</v>
      </c>
      <c r="F40" s="617"/>
      <c r="G40" s="630">
        <f t="shared" si="8"/>
        <v>3611.6816788153155</v>
      </c>
      <c r="H40" s="630"/>
      <c r="I40" s="617">
        <f t="shared" si="9"/>
        <v>5951811.6967041129</v>
      </c>
      <c r="J40" s="617"/>
      <c r="K40" s="630">
        <f t="shared" si="10"/>
        <v>146213.78269086283</v>
      </c>
      <c r="L40" s="630"/>
      <c r="M40" s="633" t="str">
        <f t="shared" si="11"/>
        <v>NO</v>
      </c>
      <c r="N40" s="633"/>
      <c r="O40" s="633"/>
    </row>
    <row r="41" spans="1:15" ht="20.149999999999999" customHeight="1" x14ac:dyDescent="0.35">
      <c r="A41" s="217" t="s">
        <v>361</v>
      </c>
      <c r="B41" s="19">
        <f t="shared" si="5"/>
        <v>15</v>
      </c>
      <c r="C41" s="634">
        <f t="shared" si="6"/>
        <v>48277.357016687281</v>
      </c>
      <c r="D41" s="631"/>
      <c r="E41" s="617">
        <f t="shared" si="7"/>
        <v>44638.587725280842</v>
      </c>
      <c r="F41" s="617"/>
      <c r="G41" s="630">
        <f t="shared" si="8"/>
        <v>3638.7692914064392</v>
      </c>
      <c r="H41" s="630"/>
      <c r="I41" s="617">
        <f t="shared" si="9"/>
        <v>5948172.9274127064</v>
      </c>
      <c r="J41" s="617"/>
      <c r="K41" s="630">
        <f t="shared" si="10"/>
        <v>157416.07412835679</v>
      </c>
      <c r="L41" s="630"/>
      <c r="M41" s="633" t="str">
        <f t="shared" si="11"/>
        <v>NO</v>
      </c>
      <c r="N41" s="633"/>
      <c r="O41" s="633"/>
    </row>
    <row r="42" spans="1:15" ht="20.149999999999999" customHeight="1" x14ac:dyDescent="0.35">
      <c r="A42" s="217" t="s">
        <v>360</v>
      </c>
      <c r="B42" s="19">
        <f t="shared" si="5"/>
        <v>16</v>
      </c>
      <c r="C42" s="634">
        <f t="shared" si="6"/>
        <v>48277.357016687281</v>
      </c>
      <c r="D42" s="631"/>
      <c r="E42" s="617">
        <f t="shared" si="7"/>
        <v>44611.296955595295</v>
      </c>
      <c r="F42" s="617"/>
      <c r="G42" s="630">
        <f t="shared" si="8"/>
        <v>3666.0600610919864</v>
      </c>
      <c r="H42" s="630"/>
      <c r="I42" s="617">
        <f t="shared" si="9"/>
        <v>5944506.8673516149</v>
      </c>
      <c r="J42" s="617"/>
      <c r="K42" s="630">
        <f t="shared" si="10"/>
        <v>168724.66178969399</v>
      </c>
      <c r="L42" s="630"/>
      <c r="M42" s="633" t="str">
        <f t="shared" si="11"/>
        <v>NO</v>
      </c>
      <c r="N42" s="633"/>
      <c r="O42" s="633"/>
    </row>
    <row r="43" spans="1:15" ht="20.149999999999999" customHeight="1" x14ac:dyDescent="0.35">
      <c r="A43" s="217" t="s">
        <v>361</v>
      </c>
      <c r="B43" s="19">
        <f t="shared" si="5"/>
        <v>17</v>
      </c>
      <c r="C43" s="634">
        <f t="shared" si="6"/>
        <v>48277.357016687281</v>
      </c>
      <c r="D43" s="631"/>
      <c r="E43" s="617">
        <f t="shared" si="7"/>
        <v>44583.801505137111</v>
      </c>
      <c r="F43" s="617"/>
      <c r="G43" s="630">
        <f t="shared" si="8"/>
        <v>3693.5555115501702</v>
      </c>
      <c r="H43" s="630"/>
      <c r="I43" s="617">
        <f t="shared" si="9"/>
        <v>5940813.3118400648</v>
      </c>
      <c r="J43" s="617"/>
      <c r="K43" s="630">
        <f t="shared" si="10"/>
        <v>180140.55429773219</v>
      </c>
      <c r="L43" s="630"/>
      <c r="M43" s="633" t="str">
        <f t="shared" si="11"/>
        <v>NO</v>
      </c>
      <c r="N43" s="633"/>
      <c r="O43" s="633"/>
    </row>
    <row r="44" spans="1:15" ht="20.149999999999999" customHeight="1" x14ac:dyDescent="0.35">
      <c r="A44" s="217" t="s">
        <v>360</v>
      </c>
      <c r="B44" s="19">
        <f t="shared" si="5"/>
        <v>18</v>
      </c>
      <c r="C44" s="634">
        <f t="shared" si="6"/>
        <v>48277.357016687281</v>
      </c>
      <c r="D44" s="631"/>
      <c r="E44" s="617">
        <f t="shared" si="7"/>
        <v>44556.099838800488</v>
      </c>
      <c r="F44" s="617"/>
      <c r="G44" s="630">
        <f t="shared" si="8"/>
        <v>3721.2571778867932</v>
      </c>
      <c r="H44" s="630"/>
      <c r="I44" s="617">
        <f t="shared" si="9"/>
        <v>5937092.0546621783</v>
      </c>
      <c r="J44" s="617"/>
      <c r="K44" s="630">
        <f t="shared" si="10"/>
        <v>191664.76984594262</v>
      </c>
      <c r="L44" s="630"/>
      <c r="M44" s="633" t="str">
        <f t="shared" si="11"/>
        <v>NO</v>
      </c>
      <c r="N44" s="633"/>
      <c r="O44" s="633"/>
    </row>
    <row r="45" spans="1:15" ht="20.149999999999999" customHeight="1" x14ac:dyDescent="0.35">
      <c r="A45" s="217" t="s">
        <v>361</v>
      </c>
      <c r="B45" s="19">
        <f t="shared" si="5"/>
        <v>19</v>
      </c>
      <c r="C45" s="634">
        <f t="shared" si="6"/>
        <v>48277.357016687281</v>
      </c>
      <c r="D45" s="631"/>
      <c r="E45" s="617">
        <f t="shared" si="7"/>
        <v>44528.190409966337</v>
      </c>
      <c r="F45" s="617"/>
      <c r="G45" s="630">
        <f t="shared" si="8"/>
        <v>3749.1666067209444</v>
      </c>
      <c r="H45" s="630"/>
      <c r="I45" s="617">
        <f t="shared" si="9"/>
        <v>5933342.8880554577</v>
      </c>
      <c r="J45" s="617"/>
      <c r="K45" s="630">
        <f t="shared" si="10"/>
        <v>203298.33628922352</v>
      </c>
      <c r="L45" s="630"/>
      <c r="M45" s="633" t="str">
        <f t="shared" si="11"/>
        <v>NO</v>
      </c>
      <c r="N45" s="633"/>
      <c r="O45" s="633"/>
    </row>
    <row r="46" spans="1:15" ht="20.149999999999999" customHeight="1" x14ac:dyDescent="0.35">
      <c r="A46" s="217" t="s">
        <v>360</v>
      </c>
      <c r="B46" s="19">
        <f t="shared" si="5"/>
        <v>20</v>
      </c>
      <c r="C46" s="634">
        <f t="shared" si="6"/>
        <v>48277.357016687281</v>
      </c>
      <c r="D46" s="631"/>
      <c r="E46" s="617">
        <f t="shared" si="7"/>
        <v>44500.071660415932</v>
      </c>
      <c r="F46" s="617"/>
      <c r="G46" s="630">
        <f t="shared" si="8"/>
        <v>3777.2853562713499</v>
      </c>
      <c r="H46" s="630"/>
      <c r="I46" s="617">
        <f t="shared" si="9"/>
        <v>5929565.6026991867</v>
      </c>
      <c r="J46" s="617"/>
      <c r="K46" s="630">
        <f t="shared" si="10"/>
        <v>215042.29123557542</v>
      </c>
      <c r="L46" s="630"/>
      <c r="M46" s="633" t="str">
        <f t="shared" si="11"/>
        <v>NO</v>
      </c>
      <c r="N46" s="633"/>
      <c r="O46" s="633"/>
    </row>
    <row r="47" spans="1:15" ht="20.149999999999999" customHeight="1" x14ac:dyDescent="0.35">
      <c r="A47" s="217" t="s">
        <v>361</v>
      </c>
      <c r="B47" s="19">
        <f t="shared" si="5"/>
        <v>21</v>
      </c>
      <c r="C47" s="634">
        <f t="shared" si="6"/>
        <v>48277.357016687281</v>
      </c>
      <c r="D47" s="631"/>
      <c r="E47" s="617">
        <f t="shared" si="7"/>
        <v>44471.742020243895</v>
      </c>
      <c r="F47" s="617"/>
      <c r="G47" s="630">
        <f t="shared" si="8"/>
        <v>3805.6149964433862</v>
      </c>
      <c r="H47" s="630"/>
      <c r="I47" s="617">
        <f t="shared" si="9"/>
        <v>5925759.9877027432</v>
      </c>
      <c r="J47" s="617"/>
      <c r="K47" s="630">
        <f t="shared" si="10"/>
        <v>226897.68213864634</v>
      </c>
      <c r="L47" s="630"/>
      <c r="M47" s="633" t="str">
        <f t="shared" si="11"/>
        <v>NO</v>
      </c>
      <c r="N47" s="633"/>
      <c r="O47" s="633"/>
    </row>
    <row r="48" spans="1:15" ht="20.149999999999999" customHeight="1" x14ac:dyDescent="0.35">
      <c r="A48" s="217" t="s">
        <v>360</v>
      </c>
      <c r="B48" s="19">
        <f t="shared" si="5"/>
        <v>22</v>
      </c>
      <c r="C48" s="634">
        <f t="shared" si="6"/>
        <v>48277.357016687281</v>
      </c>
      <c r="D48" s="631"/>
      <c r="E48" s="617">
        <f t="shared" si="7"/>
        <v>44443.199907770577</v>
      </c>
      <c r="F48" s="617"/>
      <c r="G48" s="630">
        <f t="shared" si="8"/>
        <v>3834.1571089167046</v>
      </c>
      <c r="H48" s="630"/>
      <c r="I48" s="617">
        <f t="shared" si="9"/>
        <v>5921925.8305938262</v>
      </c>
      <c r="J48" s="617"/>
      <c r="K48" s="630">
        <f t="shared" si="10"/>
        <v>238865.56639115504</v>
      </c>
      <c r="L48" s="630"/>
      <c r="M48" s="633" t="str">
        <f t="shared" si="11"/>
        <v>NO</v>
      </c>
      <c r="N48" s="633"/>
      <c r="O48" s="633"/>
    </row>
    <row r="49" spans="1:15" ht="20.149999999999999" customHeight="1" x14ac:dyDescent="0.35">
      <c r="A49" s="217" t="s">
        <v>361</v>
      </c>
      <c r="B49" s="19">
        <f t="shared" si="5"/>
        <v>23</v>
      </c>
      <c r="C49" s="634">
        <f t="shared" si="6"/>
        <v>48277.357016687281</v>
      </c>
      <c r="D49" s="631"/>
      <c r="E49" s="617">
        <f t="shared" si="7"/>
        <v>44414.443729453691</v>
      </c>
      <c r="F49" s="617"/>
      <c r="G49" s="630">
        <f t="shared" si="8"/>
        <v>3862.9132872335904</v>
      </c>
      <c r="H49" s="630"/>
      <c r="I49" s="617">
        <f t="shared" si="9"/>
        <v>5918062.9173065927</v>
      </c>
      <c r="J49" s="617"/>
      <c r="K49" s="630">
        <f t="shared" si="10"/>
        <v>250947.01141920083</v>
      </c>
      <c r="L49" s="630"/>
      <c r="M49" s="633" t="str">
        <f t="shared" si="11"/>
        <v>NO</v>
      </c>
      <c r="N49" s="633"/>
      <c r="O49" s="633"/>
    </row>
    <row r="50" spans="1:15" ht="20.149999999999999" customHeight="1" x14ac:dyDescent="0.35">
      <c r="A50" s="217" t="s">
        <v>360</v>
      </c>
      <c r="B50" s="19">
        <f t="shared" si="5"/>
        <v>24</v>
      </c>
      <c r="C50" s="634">
        <f t="shared" si="6"/>
        <v>48277.357016687281</v>
      </c>
      <c r="D50" s="631"/>
      <c r="E50" s="617">
        <f t="shared" si="7"/>
        <v>44385.471879799443</v>
      </c>
      <c r="F50" s="617"/>
      <c r="G50" s="630">
        <f t="shared" si="8"/>
        <v>3891.8851368878386</v>
      </c>
      <c r="H50" s="630"/>
      <c r="I50" s="617">
        <f t="shared" si="9"/>
        <v>5914171.0321697053</v>
      </c>
      <c r="J50" s="617"/>
      <c r="K50" s="630">
        <f t="shared" si="10"/>
        <v>263143.0947774683</v>
      </c>
      <c r="L50" s="630"/>
      <c r="M50" s="633" t="str">
        <f t="shared" si="11"/>
        <v>NO</v>
      </c>
      <c r="N50" s="633"/>
      <c r="O50" s="633"/>
    </row>
    <row r="51" spans="1:15" ht="20.149999999999999" customHeight="1" x14ac:dyDescent="0.35">
      <c r="A51" s="217" t="s">
        <v>361</v>
      </c>
      <c r="B51" s="19">
        <f t="shared" si="5"/>
        <v>25</v>
      </c>
      <c r="C51" s="634">
        <f t="shared" si="6"/>
        <v>48277.357016687281</v>
      </c>
      <c r="D51" s="631"/>
      <c r="E51" s="617">
        <f t="shared" si="7"/>
        <v>44356.282741272786</v>
      </c>
      <c r="F51" s="617"/>
      <c r="G51" s="630">
        <f t="shared" si="8"/>
        <v>3921.0742754144958</v>
      </c>
      <c r="H51" s="630"/>
      <c r="I51" s="617">
        <f t="shared" si="9"/>
        <v>5910249.9578942908</v>
      </c>
      <c r="J51" s="617"/>
      <c r="K51" s="630">
        <f t="shared" si="10"/>
        <v>275454.90424533532</v>
      </c>
      <c r="L51" s="630"/>
      <c r="M51" s="633" t="str">
        <f t="shared" si="11"/>
        <v>NO</v>
      </c>
      <c r="N51" s="633"/>
      <c r="O51" s="633"/>
    </row>
    <row r="52" spans="1:15" ht="20.149999999999999" customHeight="1" x14ac:dyDescent="0.35">
      <c r="A52" s="217" t="s">
        <v>360</v>
      </c>
      <c r="B52" s="19">
        <f t="shared" si="5"/>
        <v>26</v>
      </c>
      <c r="C52" s="634">
        <f t="shared" si="6"/>
        <v>48277.357016687281</v>
      </c>
      <c r="D52" s="631"/>
      <c r="E52" s="617">
        <f t="shared" si="7"/>
        <v>44326.874684207178</v>
      </c>
      <c r="F52" s="617"/>
      <c r="G52" s="630">
        <f t="shared" si="8"/>
        <v>3950.4823324801037</v>
      </c>
      <c r="H52" s="630"/>
      <c r="I52" s="617">
        <f t="shared" si="9"/>
        <v>5906299.4755618107</v>
      </c>
      <c r="J52" s="617"/>
      <c r="K52" s="630">
        <f t="shared" si="10"/>
        <v>287883.53792389296</v>
      </c>
      <c r="L52" s="630"/>
      <c r="M52" s="633" t="str">
        <f t="shared" si="11"/>
        <v>NO</v>
      </c>
      <c r="N52" s="633"/>
      <c r="O52" s="633"/>
    </row>
    <row r="53" spans="1:15" ht="20.149999999999999" customHeight="1" x14ac:dyDescent="0.35">
      <c r="A53" s="217" t="s">
        <v>361</v>
      </c>
      <c r="B53" s="19">
        <f t="shared" si="5"/>
        <v>27</v>
      </c>
      <c r="C53" s="634">
        <f t="shared" si="6"/>
        <v>48277.357016687281</v>
      </c>
      <c r="D53" s="631"/>
      <c r="E53" s="617">
        <f t="shared" si="7"/>
        <v>44297.246066713582</v>
      </c>
      <c r="F53" s="617"/>
      <c r="G53" s="630">
        <f t="shared" si="8"/>
        <v>3980.1109499736995</v>
      </c>
      <c r="H53" s="630"/>
      <c r="I53" s="617">
        <f t="shared" si="9"/>
        <v>5902319.3646118371</v>
      </c>
      <c r="J53" s="617"/>
      <c r="K53" s="630">
        <f t="shared" si="10"/>
        <v>300430.10433388618</v>
      </c>
      <c r="L53" s="630"/>
      <c r="M53" s="633" t="str">
        <f t="shared" si="11"/>
        <v>NO</v>
      </c>
      <c r="N53" s="633"/>
      <c r="O53" s="633"/>
    </row>
    <row r="54" spans="1:15" ht="20.149999999999999" customHeight="1" x14ac:dyDescent="0.35">
      <c r="A54" s="217" t="s">
        <v>360</v>
      </c>
      <c r="B54" s="19">
        <f t="shared" si="5"/>
        <v>28</v>
      </c>
      <c r="C54" s="634">
        <f t="shared" si="6"/>
        <v>48277.357016687281</v>
      </c>
      <c r="D54" s="631"/>
      <c r="E54" s="617">
        <f t="shared" si="7"/>
        <v>44267.395234588774</v>
      </c>
      <c r="F54" s="617"/>
      <c r="G54" s="630">
        <f t="shared" si="8"/>
        <v>4009.9617820985077</v>
      </c>
      <c r="H54" s="630"/>
      <c r="I54" s="617">
        <f t="shared" si="9"/>
        <v>5898309.4028297383</v>
      </c>
      <c r="J54" s="617"/>
      <c r="K54" s="630">
        <f t="shared" si="10"/>
        <v>313095.72251458385</v>
      </c>
      <c r="L54" s="630"/>
      <c r="M54" s="633" t="str">
        <f t="shared" si="11"/>
        <v>NO</v>
      </c>
      <c r="N54" s="633"/>
      <c r="O54" s="633"/>
    </row>
    <row r="55" spans="1:15" ht="20.149999999999999" customHeight="1" x14ac:dyDescent="0.35">
      <c r="A55" s="217" t="s">
        <v>361</v>
      </c>
      <c r="B55" s="19">
        <f t="shared" si="5"/>
        <v>29</v>
      </c>
      <c r="C55" s="634">
        <f t="shared" si="6"/>
        <v>48277.357016687281</v>
      </c>
      <c r="D55" s="631"/>
      <c r="E55" s="617">
        <f t="shared" si="7"/>
        <v>44237.320521223039</v>
      </c>
      <c r="F55" s="617"/>
      <c r="G55" s="630">
        <f t="shared" si="8"/>
        <v>4040.0364954642428</v>
      </c>
      <c r="H55" s="630"/>
      <c r="I55" s="617">
        <f t="shared" si="9"/>
        <v>5894269.3663342744</v>
      </c>
      <c r="J55" s="617"/>
      <c r="K55" s="630">
        <f t="shared" si="10"/>
        <v>325881.52212358662</v>
      </c>
      <c r="L55" s="630"/>
      <c r="M55" s="633" t="str">
        <f t="shared" si="11"/>
        <v>NO</v>
      </c>
      <c r="N55" s="633"/>
      <c r="O55" s="633"/>
    </row>
    <row r="56" spans="1:15" ht="20.149999999999999" customHeight="1" x14ac:dyDescent="0.35">
      <c r="A56" s="217" t="s">
        <v>360</v>
      </c>
      <c r="B56" s="19">
        <f t="shared" si="5"/>
        <v>30</v>
      </c>
      <c r="C56" s="634">
        <f t="shared" si="6"/>
        <v>48277.357016687281</v>
      </c>
      <c r="D56" s="631"/>
      <c r="E56" s="617">
        <f t="shared" si="7"/>
        <v>44207.020247507055</v>
      </c>
      <c r="F56" s="617"/>
      <c r="G56" s="630">
        <f t="shared" si="8"/>
        <v>4070.3367691802268</v>
      </c>
      <c r="H56" s="630"/>
      <c r="I56" s="617">
        <f t="shared" si="9"/>
        <v>5890199.029565094</v>
      </c>
      <c r="J56" s="617"/>
      <c r="K56" s="630">
        <f t="shared" si="10"/>
        <v>338788.64353758231</v>
      </c>
      <c r="L56" s="630"/>
      <c r="M56" s="633" t="str">
        <f t="shared" si="11"/>
        <v>NO</v>
      </c>
      <c r="N56" s="633"/>
      <c r="O56" s="633"/>
    </row>
    <row r="57" spans="1:15" ht="20.149999999999999" customHeight="1" x14ac:dyDescent="0.35">
      <c r="A57" s="217" t="s">
        <v>361</v>
      </c>
      <c r="B57" s="19">
        <f t="shared" si="5"/>
        <v>31</v>
      </c>
      <c r="C57" s="634">
        <f t="shared" si="6"/>
        <v>48277.357016687281</v>
      </c>
      <c r="D57" s="631"/>
      <c r="E57" s="617">
        <f t="shared" si="7"/>
        <v>44176.492721738206</v>
      </c>
      <c r="F57" s="617"/>
      <c r="G57" s="630">
        <f t="shared" si="8"/>
        <v>4100.864294949075</v>
      </c>
      <c r="H57" s="630"/>
      <c r="I57" s="617">
        <f t="shared" si="9"/>
        <v>5886098.1652701451</v>
      </c>
      <c r="J57" s="617"/>
      <c r="K57" s="630">
        <f t="shared" si="10"/>
        <v>351818.23795405694</v>
      </c>
      <c r="L57" s="630"/>
      <c r="M57" s="633" t="str">
        <f t="shared" si="11"/>
        <v>NO</v>
      </c>
      <c r="N57" s="633"/>
      <c r="O57" s="633"/>
    </row>
    <row r="58" spans="1:15" ht="20.149999999999999" customHeight="1" x14ac:dyDescent="0.35">
      <c r="A58" s="217" t="s">
        <v>360</v>
      </c>
      <c r="B58" s="19">
        <f t="shared" si="5"/>
        <v>32</v>
      </c>
      <c r="C58" s="634">
        <f t="shared" si="6"/>
        <v>48277.357016687281</v>
      </c>
      <c r="D58" s="631"/>
      <c r="E58" s="617">
        <f t="shared" si="7"/>
        <v>44145.736239526093</v>
      </c>
      <c r="F58" s="617"/>
      <c r="G58" s="630">
        <f t="shared" si="8"/>
        <v>4131.620777161188</v>
      </c>
      <c r="H58" s="630"/>
      <c r="I58" s="617">
        <f t="shared" si="9"/>
        <v>5881966.5444929842</v>
      </c>
      <c r="J58" s="617"/>
      <c r="K58" s="630">
        <f t="shared" si="10"/>
        <v>364971.46749397111</v>
      </c>
      <c r="L58" s="630"/>
      <c r="M58" s="633" t="str">
        <f t="shared" si="11"/>
        <v>NO</v>
      </c>
      <c r="N58" s="633"/>
      <c r="O58" s="633"/>
    </row>
    <row r="59" spans="1:15" ht="20.149999999999999" customHeight="1" x14ac:dyDescent="0.35">
      <c r="A59" s="217" t="s">
        <v>361</v>
      </c>
      <c r="B59" s="19">
        <f t="shared" si="5"/>
        <v>33</v>
      </c>
      <c r="C59" s="634">
        <f t="shared" si="6"/>
        <v>48277.357016687281</v>
      </c>
      <c r="D59" s="631"/>
      <c r="E59" s="617">
        <f t="shared" si="7"/>
        <v>44114.749083697381</v>
      </c>
      <c r="F59" s="617"/>
      <c r="G59" s="630">
        <f t="shared" si="8"/>
        <v>4162.6079329899003</v>
      </c>
      <c r="H59" s="630"/>
      <c r="I59" s="617">
        <f t="shared" si="9"/>
        <v>5877803.9365599947</v>
      </c>
      <c r="J59" s="617"/>
      <c r="K59" s="630">
        <f t="shared" si="10"/>
        <v>378249.50530541054</v>
      </c>
      <c r="L59" s="630"/>
      <c r="M59" s="633" t="str">
        <f t="shared" si="11"/>
        <v>NO</v>
      </c>
      <c r="N59" s="633"/>
      <c r="O59" s="633"/>
    </row>
    <row r="60" spans="1:15" ht="20.149999999999999" customHeight="1" x14ac:dyDescent="0.35">
      <c r="A60" s="217" t="s">
        <v>360</v>
      </c>
      <c r="B60" s="19">
        <f t="shared" si="5"/>
        <v>34</v>
      </c>
      <c r="C60" s="634">
        <f t="shared" si="6"/>
        <v>48277.357016687281</v>
      </c>
      <c r="D60" s="631"/>
      <c r="E60" s="617">
        <f t="shared" si="7"/>
        <v>44083.529524199956</v>
      </c>
      <c r="F60" s="617"/>
      <c r="G60" s="630">
        <f t="shared" si="8"/>
        <v>4193.8274924873258</v>
      </c>
      <c r="H60" s="630"/>
      <c r="I60" s="617">
        <f t="shared" si="9"/>
        <v>5873610.1090675071</v>
      </c>
      <c r="J60" s="617"/>
      <c r="K60" s="630">
        <f t="shared" si="10"/>
        <v>391653.53566822031</v>
      </c>
      <c r="L60" s="630"/>
      <c r="M60" s="633" t="str">
        <f t="shared" si="11"/>
        <v>NO</v>
      </c>
      <c r="N60" s="633"/>
      <c r="O60" s="633"/>
    </row>
    <row r="61" spans="1:15" ht="20.149999999999999" customHeight="1" x14ac:dyDescent="0.35">
      <c r="A61" s="217" t="s">
        <v>361</v>
      </c>
      <c r="B61" s="19">
        <f t="shared" si="5"/>
        <v>35</v>
      </c>
      <c r="C61" s="634">
        <f t="shared" si="6"/>
        <v>48277.357016687281</v>
      </c>
      <c r="D61" s="631"/>
      <c r="E61" s="617">
        <f t="shared" si="7"/>
        <v>44052.075818006299</v>
      </c>
      <c r="F61" s="617"/>
      <c r="G61" s="630">
        <f t="shared" si="8"/>
        <v>4225.2811986809829</v>
      </c>
      <c r="H61" s="630"/>
      <c r="I61" s="617">
        <f t="shared" si="9"/>
        <v>5869384.8278688258</v>
      </c>
      <c r="J61" s="617"/>
      <c r="K61" s="630">
        <f t="shared" si="10"/>
        <v>405184.75409963162</v>
      </c>
      <c r="L61" s="630"/>
      <c r="M61" s="633" t="str">
        <f t="shared" si="11"/>
        <v>NO</v>
      </c>
      <c r="N61" s="633"/>
      <c r="O61" s="633"/>
    </row>
    <row r="62" spans="1:15" ht="20.149999999999999" customHeight="1" x14ac:dyDescent="0.35">
      <c r="A62" s="217" t="s">
        <v>360</v>
      </c>
      <c r="B62" s="19">
        <f t="shared" si="5"/>
        <v>36</v>
      </c>
      <c r="C62" s="634">
        <f t="shared" si="6"/>
        <v>48277.357016687281</v>
      </c>
      <c r="D62" s="631"/>
      <c r="E62" s="617">
        <f t="shared" si="7"/>
        <v>44020.386209016193</v>
      </c>
      <c r="F62" s="617"/>
      <c r="G62" s="630">
        <f t="shared" si="8"/>
        <v>4256.9708076710886</v>
      </c>
      <c r="H62" s="630"/>
      <c r="I62" s="617">
        <f t="shared" si="9"/>
        <v>5865127.8570611542</v>
      </c>
      <c r="J62" s="617"/>
      <c r="K62" s="630">
        <f t="shared" si="10"/>
        <v>418844.3674608912</v>
      </c>
      <c r="L62" s="630"/>
      <c r="M62" s="633" t="str">
        <f t="shared" si="11"/>
        <v>NO</v>
      </c>
      <c r="N62" s="633"/>
      <c r="O62" s="633"/>
    </row>
    <row r="63" spans="1:15" ht="20.149999999999999" customHeight="1" x14ac:dyDescent="0.35">
      <c r="A63" s="217" t="s">
        <v>361</v>
      </c>
      <c r="B63" s="19">
        <f t="shared" si="5"/>
        <v>37</v>
      </c>
      <c r="C63" s="634">
        <f t="shared" si="6"/>
        <v>48277.357016687281</v>
      </c>
      <c r="D63" s="631"/>
      <c r="E63" s="617">
        <f t="shared" si="7"/>
        <v>43988.458927958651</v>
      </c>
      <c r="F63" s="617"/>
      <c r="G63" s="630">
        <f t="shared" si="8"/>
        <v>4288.8980887286307</v>
      </c>
      <c r="H63" s="630"/>
      <c r="I63" s="617">
        <f t="shared" si="9"/>
        <v>5860838.9589724252</v>
      </c>
      <c r="J63" s="617"/>
      <c r="K63" s="630">
        <f t="shared" si="10"/>
        <v>432633.59406490222</v>
      </c>
      <c r="L63" s="630"/>
      <c r="M63" s="633" t="str">
        <f t="shared" si="11"/>
        <v>NO</v>
      </c>
      <c r="N63" s="633"/>
      <c r="O63" s="633"/>
    </row>
    <row r="64" spans="1:15" ht="20.149999999999999" customHeight="1" x14ac:dyDescent="0.35">
      <c r="A64" s="217" t="s">
        <v>360</v>
      </c>
      <c r="B64" s="19">
        <f t="shared" si="5"/>
        <v>38</v>
      </c>
      <c r="C64" s="634">
        <f t="shared" si="6"/>
        <v>48277.357016687281</v>
      </c>
      <c r="D64" s="631"/>
      <c r="E64" s="617">
        <f t="shared" si="7"/>
        <v>43956.292192293186</v>
      </c>
      <c r="F64" s="617"/>
      <c r="G64" s="630">
        <f t="shared" si="8"/>
        <v>4321.0648243940959</v>
      </c>
      <c r="H64" s="630"/>
      <c r="I64" s="617">
        <f t="shared" si="9"/>
        <v>5856517.8941480312</v>
      </c>
      <c r="J64" s="617"/>
      <c r="K64" s="630">
        <f t="shared" si="10"/>
        <v>446553.66378488677</v>
      </c>
      <c r="L64" s="630"/>
      <c r="M64" s="633" t="str">
        <f t="shared" si="11"/>
        <v>NO</v>
      </c>
      <c r="N64" s="633"/>
      <c r="O64" s="633"/>
    </row>
    <row r="65" spans="1:15" ht="20.149999999999999" customHeight="1" x14ac:dyDescent="0.35">
      <c r="A65" s="217" t="s">
        <v>361</v>
      </c>
      <c r="B65" s="19">
        <f t="shared" si="5"/>
        <v>39</v>
      </c>
      <c r="C65" s="634">
        <f t="shared" si="6"/>
        <v>48277.357016687281</v>
      </c>
      <c r="D65" s="631"/>
      <c r="E65" s="617">
        <f t="shared" si="7"/>
        <v>43923.884206110233</v>
      </c>
      <c r="F65" s="617"/>
      <c r="G65" s="630">
        <f t="shared" si="8"/>
        <v>4353.4728105770482</v>
      </c>
      <c r="H65" s="630"/>
      <c r="I65" s="617">
        <f t="shared" si="9"/>
        <v>5852164.4213374546</v>
      </c>
      <c r="J65" s="617"/>
      <c r="K65" s="630">
        <f t="shared" si="10"/>
        <v>460605.81816407922</v>
      </c>
      <c r="L65" s="630"/>
      <c r="M65" s="633" t="str">
        <f t="shared" si="11"/>
        <v>NO</v>
      </c>
      <c r="N65" s="633"/>
      <c r="O65" s="633"/>
    </row>
    <row r="66" spans="1:15" ht="20.149999999999999" customHeight="1" x14ac:dyDescent="0.35">
      <c r="A66" s="217" t="s">
        <v>360</v>
      </c>
      <c r="B66" s="19">
        <f t="shared" si="5"/>
        <v>40</v>
      </c>
      <c r="C66" s="634">
        <f t="shared" si="6"/>
        <v>48277.357016687281</v>
      </c>
      <c r="D66" s="631"/>
      <c r="E66" s="617">
        <f t="shared" si="7"/>
        <v>43891.233160030912</v>
      </c>
      <c r="F66" s="617"/>
      <c r="G66" s="630">
        <f t="shared" si="8"/>
        <v>4386.1238566563698</v>
      </c>
      <c r="H66" s="630"/>
      <c r="I66" s="617">
        <f t="shared" si="9"/>
        <v>5847778.2974807983</v>
      </c>
      <c r="J66" s="617"/>
      <c r="K66" s="630">
        <f t="shared" si="10"/>
        <v>474791.31052646058</v>
      </c>
      <c r="L66" s="630"/>
      <c r="M66" s="633" t="str">
        <f t="shared" si="11"/>
        <v>NO</v>
      </c>
      <c r="N66" s="633"/>
      <c r="O66" s="633"/>
    </row>
    <row r="67" spans="1:15" ht="20.149999999999999" customHeight="1" x14ac:dyDescent="0.35">
      <c r="A67" s="217" t="s">
        <v>361</v>
      </c>
      <c r="B67" s="19">
        <f t="shared" si="5"/>
        <v>41</v>
      </c>
      <c r="C67" s="634">
        <f t="shared" si="6"/>
        <v>48277.357016687281</v>
      </c>
      <c r="D67" s="631"/>
      <c r="E67" s="617">
        <f t="shared" si="7"/>
        <v>43858.337231105987</v>
      </c>
      <c r="F67" s="617"/>
      <c r="G67" s="630">
        <f t="shared" si="8"/>
        <v>4419.0197855812949</v>
      </c>
      <c r="H67" s="630"/>
      <c r="I67" s="617">
        <f t="shared" si="9"/>
        <v>5843359.2776952172</v>
      </c>
      <c r="J67" s="617"/>
      <c r="K67" s="630">
        <f t="shared" si="10"/>
        <v>489111.40608854371</v>
      </c>
      <c r="L67" s="630"/>
      <c r="M67" s="633" t="str">
        <f t="shared" si="11"/>
        <v>NO</v>
      </c>
      <c r="N67" s="633"/>
      <c r="O67" s="633"/>
    </row>
    <row r="68" spans="1:15" ht="20.149999999999999" customHeight="1" x14ac:dyDescent="0.35">
      <c r="A68" s="217" t="s">
        <v>360</v>
      </c>
      <c r="B68" s="19">
        <f t="shared" si="5"/>
        <v>42</v>
      </c>
      <c r="C68" s="634">
        <f t="shared" si="6"/>
        <v>48277.357016687281</v>
      </c>
      <c r="D68" s="631"/>
      <c r="E68" s="617">
        <f t="shared" si="7"/>
        <v>43825.194582714124</v>
      </c>
      <c r="F68" s="617"/>
      <c r="G68" s="630">
        <f t="shared" si="8"/>
        <v>4452.162433973157</v>
      </c>
      <c r="H68" s="630"/>
      <c r="I68" s="617">
        <f t="shared" si="9"/>
        <v>5838907.1152612437</v>
      </c>
      <c r="J68" s="617"/>
      <c r="K68" s="630">
        <f t="shared" si="10"/>
        <v>503567.38207221887</v>
      </c>
      <c r="L68" s="630"/>
      <c r="M68" s="633" t="str">
        <f t="shared" si="11"/>
        <v>NO</v>
      </c>
      <c r="N68" s="633"/>
      <c r="O68" s="633"/>
    </row>
    <row r="69" spans="1:15" ht="20.149999999999999" customHeight="1" x14ac:dyDescent="0.35">
      <c r="A69" s="217" t="s">
        <v>361</v>
      </c>
      <c r="B69" s="19">
        <f t="shared" si="5"/>
        <v>43</v>
      </c>
      <c r="C69" s="634">
        <f t="shared" si="6"/>
        <v>48277.357016687281</v>
      </c>
      <c r="D69" s="631"/>
      <c r="E69" s="617">
        <f t="shared" si="7"/>
        <v>43791.803364459331</v>
      </c>
      <c r="F69" s="617"/>
      <c r="G69" s="630">
        <f t="shared" si="8"/>
        <v>4485.5536522279508</v>
      </c>
      <c r="H69" s="630"/>
      <c r="I69" s="617">
        <f t="shared" si="9"/>
        <v>5834421.5616090158</v>
      </c>
      <c r="J69" s="617"/>
      <c r="K69" s="630">
        <f t="shared" si="10"/>
        <v>518160.52781867044</v>
      </c>
      <c r="L69" s="630"/>
      <c r="M69" s="633" t="str">
        <f t="shared" si="11"/>
        <v>NO</v>
      </c>
      <c r="N69" s="633"/>
      <c r="O69" s="633"/>
    </row>
    <row r="70" spans="1:15" ht="20.149999999999999" customHeight="1" x14ac:dyDescent="0.35">
      <c r="A70" s="217" t="s">
        <v>360</v>
      </c>
      <c r="B70" s="19">
        <f t="shared" si="5"/>
        <v>44</v>
      </c>
      <c r="C70" s="634">
        <f t="shared" si="6"/>
        <v>48277.357016687281</v>
      </c>
      <c r="D70" s="631"/>
      <c r="E70" s="617">
        <f t="shared" si="7"/>
        <v>43758.161712067616</v>
      </c>
      <c r="F70" s="617"/>
      <c r="G70" s="630">
        <f t="shared" si="8"/>
        <v>4519.195304619665</v>
      </c>
      <c r="H70" s="630"/>
      <c r="I70" s="617">
        <f t="shared" si="9"/>
        <v>5829902.3663043957</v>
      </c>
      <c r="J70" s="617"/>
      <c r="K70" s="630">
        <f t="shared" si="10"/>
        <v>532892.14490337437</v>
      </c>
      <c r="L70" s="630"/>
      <c r="M70" s="633" t="str">
        <f t="shared" si="11"/>
        <v>NO</v>
      </c>
      <c r="N70" s="633"/>
      <c r="O70" s="633"/>
    </row>
    <row r="71" spans="1:15" ht="20.149999999999999" customHeight="1" x14ac:dyDescent="0.35">
      <c r="A71" s="217" t="s">
        <v>361</v>
      </c>
      <c r="B71" s="19">
        <f t="shared" si="5"/>
        <v>45</v>
      </c>
      <c r="C71" s="634">
        <f t="shared" si="6"/>
        <v>48277.357016687281</v>
      </c>
      <c r="D71" s="631"/>
      <c r="E71" s="617">
        <f t="shared" si="7"/>
        <v>43724.26774728296</v>
      </c>
      <c r="F71" s="617"/>
      <c r="G71" s="630">
        <f t="shared" si="8"/>
        <v>4553.0892694043214</v>
      </c>
      <c r="H71" s="630"/>
      <c r="I71" s="617">
        <f t="shared" si="9"/>
        <v>5825349.2770349914</v>
      </c>
      <c r="J71" s="617"/>
      <c r="K71" s="630">
        <f t="shared" si="10"/>
        <v>547763.54725218657</v>
      </c>
      <c r="L71" s="630"/>
      <c r="M71" s="633" t="str">
        <f t="shared" si="11"/>
        <v>NO</v>
      </c>
      <c r="N71" s="633"/>
      <c r="O71" s="633"/>
    </row>
    <row r="72" spans="1:15" ht="20.149999999999999" customHeight="1" x14ac:dyDescent="0.35">
      <c r="A72" s="217" t="s">
        <v>360</v>
      </c>
      <c r="B72" s="19">
        <f t="shared" si="5"/>
        <v>46</v>
      </c>
      <c r="C72" s="634">
        <f t="shared" si="6"/>
        <v>48277.357016687281</v>
      </c>
      <c r="D72" s="631"/>
      <c r="E72" s="617">
        <f t="shared" si="7"/>
        <v>43690.119577762431</v>
      </c>
      <c r="F72" s="617"/>
      <c r="G72" s="630">
        <f t="shared" si="8"/>
        <v>4587.2374389248507</v>
      </c>
      <c r="H72" s="630"/>
      <c r="I72" s="617">
        <f t="shared" si="9"/>
        <v>5820762.0395960668</v>
      </c>
      <c r="J72" s="617"/>
      <c r="K72" s="630">
        <f t="shared" si="10"/>
        <v>562776.0612585335</v>
      </c>
      <c r="L72" s="630"/>
      <c r="M72" s="633" t="str">
        <f t="shared" si="11"/>
        <v>NO</v>
      </c>
      <c r="N72" s="633"/>
      <c r="O72" s="633"/>
    </row>
    <row r="73" spans="1:15" ht="20.149999999999999" customHeight="1" x14ac:dyDescent="0.35">
      <c r="A73" s="217" t="s">
        <v>361</v>
      </c>
      <c r="B73" s="19">
        <f t="shared" si="5"/>
        <v>47</v>
      </c>
      <c r="C73" s="634">
        <f t="shared" si="6"/>
        <v>48277.357016687281</v>
      </c>
      <c r="D73" s="631"/>
      <c r="E73" s="617">
        <f t="shared" si="7"/>
        <v>43655.715296970498</v>
      </c>
      <c r="F73" s="617"/>
      <c r="G73" s="630">
        <f t="shared" si="8"/>
        <v>4621.641719716783</v>
      </c>
      <c r="H73" s="630"/>
      <c r="I73" s="617">
        <f t="shared" si="9"/>
        <v>5816140.3978763502</v>
      </c>
      <c r="J73" s="617"/>
      <c r="K73" s="630">
        <f t="shared" si="10"/>
        <v>577931.02590171422</v>
      </c>
      <c r="L73" s="630"/>
      <c r="M73" s="633" t="str">
        <f t="shared" si="11"/>
        <v>NO</v>
      </c>
      <c r="N73" s="633"/>
      <c r="O73" s="633"/>
    </row>
    <row r="74" spans="1:15" ht="20.149999999999999" customHeight="1" x14ac:dyDescent="0.35">
      <c r="A74" s="217" t="s">
        <v>360</v>
      </c>
      <c r="B74" s="19">
        <f t="shared" si="5"/>
        <v>48</v>
      </c>
      <c r="C74" s="634">
        <f t="shared" si="6"/>
        <v>48277.357016687281</v>
      </c>
      <c r="D74" s="631"/>
      <c r="E74" s="617">
        <f t="shared" si="7"/>
        <v>43621.052984072623</v>
      </c>
      <c r="F74" s="617"/>
      <c r="G74" s="630">
        <f t="shared" si="8"/>
        <v>4656.3040326146584</v>
      </c>
      <c r="H74" s="630"/>
      <c r="I74" s="617">
        <f t="shared" si="9"/>
        <v>5811484.0938437358</v>
      </c>
      <c r="J74" s="617"/>
      <c r="K74" s="630">
        <f t="shared" si="10"/>
        <v>593229.79286632501</v>
      </c>
      <c r="L74" s="630"/>
      <c r="M74" s="633" t="str">
        <f t="shared" si="11"/>
        <v>NO</v>
      </c>
      <c r="N74" s="633"/>
      <c r="O74" s="633"/>
    </row>
    <row r="75" spans="1:15" ht="20.149999999999999" customHeight="1" x14ac:dyDescent="0.35">
      <c r="A75" s="217" t="s">
        <v>361</v>
      </c>
      <c r="B75" s="19">
        <f t="shared" si="5"/>
        <v>49</v>
      </c>
      <c r="C75" s="634">
        <f t="shared" si="6"/>
        <v>48277.357016687281</v>
      </c>
      <c r="D75" s="631"/>
      <c r="E75" s="617">
        <f t="shared" si="7"/>
        <v>43586.130703828014</v>
      </c>
      <c r="F75" s="617"/>
      <c r="G75" s="630">
        <f t="shared" si="8"/>
        <v>4691.2263128592676</v>
      </c>
      <c r="H75" s="630"/>
      <c r="I75" s="617">
        <f t="shared" si="9"/>
        <v>5806792.8675308768</v>
      </c>
      <c r="J75" s="617"/>
      <c r="K75" s="630">
        <f t="shared" si="10"/>
        <v>608673.72666281741</v>
      </c>
      <c r="L75" s="630"/>
      <c r="M75" s="633" t="str">
        <f t="shared" si="11"/>
        <v>NO</v>
      </c>
      <c r="N75" s="633"/>
      <c r="O75" s="633"/>
    </row>
    <row r="76" spans="1:15" ht="20.149999999999999" customHeight="1" x14ac:dyDescent="0.35">
      <c r="A76" s="217" t="s">
        <v>360</v>
      </c>
      <c r="B76" s="19">
        <f t="shared" si="5"/>
        <v>50</v>
      </c>
      <c r="C76" s="634">
        <f t="shared" si="6"/>
        <v>48277.357016687281</v>
      </c>
      <c r="D76" s="631"/>
      <c r="E76" s="617">
        <f t="shared" si="7"/>
        <v>43550.946506481574</v>
      </c>
      <c r="F76" s="617"/>
      <c r="G76" s="630">
        <f t="shared" si="8"/>
        <v>4726.4105102057074</v>
      </c>
      <c r="H76" s="630"/>
      <c r="I76" s="617">
        <f t="shared" si="9"/>
        <v>5802066.4570206711</v>
      </c>
      <c r="J76" s="617"/>
      <c r="K76" s="630">
        <f t="shared" si="10"/>
        <v>624264.20474920014</v>
      </c>
      <c r="L76" s="630"/>
      <c r="M76" s="633" t="str">
        <f t="shared" si="11"/>
        <v>NO</v>
      </c>
      <c r="N76" s="633"/>
      <c r="O76" s="633"/>
    </row>
    <row r="77" spans="1:15" ht="20.149999999999999" customHeight="1" x14ac:dyDescent="0.35">
      <c r="A77" s="217" t="s">
        <v>361</v>
      </c>
      <c r="B77" s="19">
        <f t="shared" si="5"/>
        <v>51</v>
      </c>
      <c r="C77" s="634">
        <f t="shared" si="6"/>
        <v>48277.357016687281</v>
      </c>
      <c r="D77" s="631"/>
      <c r="E77" s="617">
        <f t="shared" si="7"/>
        <v>43515.498427655031</v>
      </c>
      <c r="F77" s="617"/>
      <c r="G77" s="630">
        <f t="shared" si="8"/>
        <v>4761.8585890322502</v>
      </c>
      <c r="H77" s="630"/>
      <c r="I77" s="617">
        <f t="shared" si="9"/>
        <v>5797304.5984316384</v>
      </c>
      <c r="J77" s="617"/>
      <c r="K77" s="630">
        <f t="shared" si="10"/>
        <v>640002.61765389575</v>
      </c>
      <c r="L77" s="630"/>
      <c r="M77" s="633" t="str">
        <f t="shared" si="11"/>
        <v>NO</v>
      </c>
      <c r="N77" s="633"/>
      <c r="O77" s="633"/>
    </row>
    <row r="78" spans="1:15" ht="20.149999999999999" customHeight="1" x14ac:dyDescent="0.35">
      <c r="A78" s="217" t="s">
        <v>360</v>
      </c>
      <c r="B78" s="19">
        <f t="shared" si="5"/>
        <v>52</v>
      </c>
      <c r="C78" s="634">
        <f t="shared" si="6"/>
        <v>48277.357016687281</v>
      </c>
      <c r="D78" s="631"/>
      <c r="E78" s="617">
        <f t="shared" si="7"/>
        <v>43479.784488237288</v>
      </c>
      <c r="F78" s="617"/>
      <c r="G78" s="630">
        <f t="shared" si="8"/>
        <v>4797.5725284499931</v>
      </c>
      <c r="H78" s="630"/>
      <c r="I78" s="617">
        <f t="shared" si="9"/>
        <v>5792507.0259031886</v>
      </c>
      <c r="J78" s="617"/>
      <c r="K78" s="630">
        <f t="shared" si="10"/>
        <v>655890.36909976287</v>
      </c>
      <c r="L78" s="630"/>
      <c r="M78" s="633" t="str">
        <f t="shared" si="11"/>
        <v>NO</v>
      </c>
      <c r="N78" s="633"/>
      <c r="O78" s="633"/>
    </row>
    <row r="79" spans="1:15" ht="20.149999999999999" customHeight="1" x14ac:dyDescent="0.35">
      <c r="A79" s="217" t="s">
        <v>361</v>
      </c>
      <c r="B79" s="19">
        <f t="shared" si="5"/>
        <v>53</v>
      </c>
      <c r="C79" s="634">
        <f t="shared" si="6"/>
        <v>48277.357016687281</v>
      </c>
      <c r="D79" s="631"/>
      <c r="E79" s="617">
        <f t="shared" si="7"/>
        <v>43443.802694273916</v>
      </c>
      <c r="F79" s="617"/>
      <c r="G79" s="630">
        <f t="shared" si="8"/>
        <v>4833.5543224133653</v>
      </c>
      <c r="H79" s="630"/>
      <c r="I79" s="617">
        <f t="shared" si="9"/>
        <v>5787673.4715807755</v>
      </c>
      <c r="J79" s="617"/>
      <c r="K79" s="630">
        <f t="shared" si="10"/>
        <v>671928.87612929603</v>
      </c>
      <c r="L79" s="630"/>
      <c r="M79" s="633" t="str">
        <f t="shared" si="11"/>
        <v>NO</v>
      </c>
      <c r="N79" s="633"/>
      <c r="O79" s="633"/>
    </row>
    <row r="80" spans="1:15" ht="20.149999999999999" customHeight="1" x14ac:dyDescent="0.35">
      <c r="A80" s="217" t="s">
        <v>360</v>
      </c>
      <c r="B80" s="19">
        <f t="shared" si="5"/>
        <v>54</v>
      </c>
      <c r="C80" s="634">
        <f t="shared" si="6"/>
        <v>48277.357016687281</v>
      </c>
      <c r="D80" s="631"/>
      <c r="E80" s="617">
        <f t="shared" si="7"/>
        <v>43407.55103685581</v>
      </c>
      <c r="F80" s="617"/>
      <c r="G80" s="630">
        <f t="shared" si="8"/>
        <v>4869.8059798314716</v>
      </c>
      <c r="H80" s="630"/>
      <c r="I80" s="617">
        <f t="shared" si="9"/>
        <v>5782803.6656009443</v>
      </c>
      <c r="J80" s="617"/>
      <c r="K80" s="630">
        <f t="shared" si="10"/>
        <v>688119.56923101225</v>
      </c>
      <c r="L80" s="630"/>
      <c r="M80" s="633" t="str">
        <f t="shared" si="11"/>
        <v>NO</v>
      </c>
      <c r="N80" s="633"/>
      <c r="O80" s="633"/>
    </row>
    <row r="81" spans="1:15" ht="20.149999999999999" customHeight="1" x14ac:dyDescent="0.35">
      <c r="A81" s="217" t="s">
        <v>361</v>
      </c>
      <c r="B81" s="19">
        <f t="shared" si="5"/>
        <v>55</v>
      </c>
      <c r="C81" s="634">
        <f t="shared" si="6"/>
        <v>48277.357016687281</v>
      </c>
      <c r="D81" s="631"/>
      <c r="E81" s="617">
        <f t="shared" si="7"/>
        <v>43371.027492007081</v>
      </c>
      <c r="F81" s="617"/>
      <c r="G81" s="630">
        <f t="shared" si="8"/>
        <v>4906.3295246802008</v>
      </c>
      <c r="H81" s="630"/>
      <c r="I81" s="617">
        <f t="shared" si="9"/>
        <v>5777897.3360762643</v>
      </c>
      <c r="J81" s="617"/>
      <c r="K81" s="630">
        <f t="shared" si="10"/>
        <v>704463.89246703801</v>
      </c>
      <c r="L81" s="630"/>
      <c r="M81" s="633" t="str">
        <f t="shared" si="11"/>
        <v>NO</v>
      </c>
      <c r="N81" s="633"/>
      <c r="O81" s="633"/>
    </row>
    <row r="82" spans="1:15" ht="20.149999999999999" customHeight="1" x14ac:dyDescent="0.35">
      <c r="A82" s="217" t="s">
        <v>360</v>
      </c>
      <c r="B82" s="19">
        <f t="shared" si="5"/>
        <v>56</v>
      </c>
      <c r="C82" s="634">
        <f t="shared" si="6"/>
        <v>48277.357016687281</v>
      </c>
      <c r="D82" s="631"/>
      <c r="E82" s="617">
        <f t="shared" si="7"/>
        <v>43334.23002057198</v>
      </c>
      <c r="F82" s="617"/>
      <c r="G82" s="630">
        <f t="shared" si="8"/>
        <v>4943.1269961153012</v>
      </c>
      <c r="H82" s="630"/>
      <c r="I82" s="617">
        <f t="shared" si="9"/>
        <v>5772954.2090801494</v>
      </c>
      <c r="J82" s="617"/>
      <c r="K82" s="630">
        <f t="shared" si="10"/>
        <v>720963.3036019064</v>
      </c>
      <c r="L82" s="630"/>
      <c r="M82" s="633" t="str">
        <f t="shared" si="11"/>
        <v>NO</v>
      </c>
      <c r="N82" s="633"/>
      <c r="O82" s="633"/>
    </row>
    <row r="83" spans="1:15" ht="20.149999999999999" customHeight="1" x14ac:dyDescent="0.35">
      <c r="A83" s="217" t="s">
        <v>361</v>
      </c>
      <c r="B83" s="19">
        <f t="shared" si="5"/>
        <v>57</v>
      </c>
      <c r="C83" s="634">
        <f t="shared" si="6"/>
        <v>48277.357016687281</v>
      </c>
      <c r="D83" s="631"/>
      <c r="E83" s="617">
        <f t="shared" si="7"/>
        <v>43297.15656810112</v>
      </c>
      <c r="F83" s="617"/>
      <c r="G83" s="630">
        <f t="shared" si="8"/>
        <v>4980.2004485861617</v>
      </c>
      <c r="H83" s="630"/>
      <c r="I83" s="617">
        <f t="shared" si="9"/>
        <v>5767974.0086315628</v>
      </c>
      <c r="J83" s="617"/>
      <c r="K83" s="630">
        <f t="shared" si="10"/>
        <v>737619.27423257602</v>
      </c>
      <c r="L83" s="630"/>
      <c r="M83" s="633" t="str">
        <f t="shared" si="11"/>
        <v>NO</v>
      </c>
      <c r="N83" s="633"/>
      <c r="O83" s="633"/>
    </row>
    <row r="84" spans="1:15" ht="20.149999999999999" customHeight="1" x14ac:dyDescent="0.35">
      <c r="A84" s="217" t="s">
        <v>360</v>
      </c>
      <c r="B84" s="19">
        <f t="shared" si="5"/>
        <v>58</v>
      </c>
      <c r="C84" s="634">
        <f t="shared" si="6"/>
        <v>48277.357016687281</v>
      </c>
      <c r="D84" s="631"/>
      <c r="E84" s="617">
        <f t="shared" si="7"/>
        <v>43259.80506473672</v>
      </c>
      <c r="F84" s="617"/>
      <c r="G84" s="630">
        <f t="shared" si="8"/>
        <v>5017.5519519505615</v>
      </c>
      <c r="H84" s="630"/>
      <c r="I84" s="617">
        <f t="shared" si="9"/>
        <v>5762956.4566796124</v>
      </c>
      <c r="J84" s="617"/>
      <c r="K84" s="630">
        <f t="shared" si="10"/>
        <v>754433.28991968464</v>
      </c>
      <c r="L84" s="630"/>
      <c r="M84" s="633" t="str">
        <f t="shared" si="11"/>
        <v>NO</v>
      </c>
      <c r="N84" s="633"/>
      <c r="O84" s="633"/>
    </row>
    <row r="85" spans="1:15" ht="20.149999999999999" customHeight="1" x14ac:dyDescent="0.35">
      <c r="A85" s="217" t="s">
        <v>361</v>
      </c>
      <c r="B85" s="19">
        <f t="shared" si="5"/>
        <v>59</v>
      </c>
      <c r="C85" s="634">
        <f t="shared" si="6"/>
        <v>48277.357016687281</v>
      </c>
      <c r="D85" s="631"/>
      <c r="E85" s="617">
        <f t="shared" si="7"/>
        <v>43222.173425097091</v>
      </c>
      <c r="F85" s="617"/>
      <c r="G85" s="630">
        <f t="shared" si="8"/>
        <v>5055.1835915901902</v>
      </c>
      <c r="H85" s="630"/>
      <c r="I85" s="617">
        <f t="shared" si="9"/>
        <v>5757901.2730880221</v>
      </c>
      <c r="J85" s="617"/>
      <c r="K85" s="630">
        <f t="shared" si="10"/>
        <v>771406.850320047</v>
      </c>
      <c r="L85" s="630"/>
      <c r="M85" s="633" t="str">
        <f t="shared" si="11"/>
        <v>NO</v>
      </c>
      <c r="N85" s="633"/>
      <c r="O85" s="633"/>
    </row>
    <row r="86" spans="1:15" ht="20.149999999999999" customHeight="1" x14ac:dyDescent="0.35">
      <c r="A86" s="217" t="s">
        <v>360</v>
      </c>
      <c r="B86" s="19">
        <f t="shared" si="5"/>
        <v>60</v>
      </c>
      <c r="C86" s="634">
        <f t="shared" si="6"/>
        <v>48277.357016687281</v>
      </c>
      <c r="D86" s="631"/>
      <c r="E86" s="617">
        <f t="shared" si="7"/>
        <v>43184.259548160167</v>
      </c>
      <c r="F86" s="617"/>
      <c r="G86" s="630">
        <f t="shared" si="8"/>
        <v>5093.097468527114</v>
      </c>
      <c r="H86" s="630"/>
      <c r="I86" s="617">
        <f t="shared" si="9"/>
        <v>5752808.1756194951</v>
      </c>
      <c r="J86" s="617"/>
      <c r="K86" s="630">
        <f t="shared" si="10"/>
        <v>788541.4693204111</v>
      </c>
      <c r="L86" s="630"/>
      <c r="M86" s="633" t="str">
        <f t="shared" si="11"/>
        <v>NO</v>
      </c>
      <c r="N86" s="633"/>
      <c r="O86" s="633"/>
    </row>
    <row r="87" spans="1:15" ht="20.149999999999999" customHeight="1" x14ac:dyDescent="0.35">
      <c r="A87" s="217" t="s">
        <v>361</v>
      </c>
      <c r="B87" s="19">
        <f t="shared" si="5"/>
        <v>61</v>
      </c>
      <c r="C87" s="634">
        <f t="shared" si="6"/>
        <v>48277.357016687281</v>
      </c>
      <c r="D87" s="631"/>
      <c r="E87" s="617">
        <f t="shared" si="7"/>
        <v>43146.06131714621</v>
      </c>
      <c r="F87" s="617"/>
      <c r="G87" s="630">
        <f t="shared" si="8"/>
        <v>5131.2956995410714</v>
      </c>
      <c r="H87" s="630"/>
      <c r="I87" s="617">
        <f t="shared" si="9"/>
        <v>5747676.8799199536</v>
      </c>
      <c r="J87" s="617"/>
      <c r="K87" s="630">
        <f t="shared" si="10"/>
        <v>805838.67517248262</v>
      </c>
      <c r="L87" s="630"/>
      <c r="M87" s="633" t="str">
        <f t="shared" si="11"/>
        <v>NO</v>
      </c>
      <c r="N87" s="633"/>
      <c r="O87" s="633"/>
    </row>
    <row r="88" spans="1:15" ht="20.149999999999999" customHeight="1" x14ac:dyDescent="0.35">
      <c r="A88" s="217" t="s">
        <v>360</v>
      </c>
      <c r="B88" s="19">
        <f t="shared" si="5"/>
        <v>62</v>
      </c>
      <c r="C88" s="634">
        <f t="shared" si="6"/>
        <v>48277.357016687281</v>
      </c>
      <c r="D88" s="631"/>
      <c r="E88" s="617">
        <f t="shared" si="7"/>
        <v>43107.576599399654</v>
      </c>
      <c r="F88" s="617"/>
      <c r="G88" s="630">
        <f t="shared" si="8"/>
        <v>5169.7804172876276</v>
      </c>
      <c r="H88" s="630"/>
      <c r="I88" s="617">
        <f t="shared" si="9"/>
        <v>5742507.0995026659</v>
      </c>
      <c r="J88" s="617"/>
      <c r="K88" s="630">
        <f t="shared" si="10"/>
        <v>823300.01062923123</v>
      </c>
      <c r="L88" s="630"/>
      <c r="M88" s="633" t="str">
        <f t="shared" si="11"/>
        <v>NO</v>
      </c>
      <c r="N88" s="633"/>
      <c r="O88" s="633"/>
    </row>
    <row r="89" spans="1:15" ht="20.149999999999999" customHeight="1" x14ac:dyDescent="0.35">
      <c r="A89" s="217" t="s">
        <v>361</v>
      </c>
      <c r="B89" s="19">
        <f t="shared" si="5"/>
        <v>63</v>
      </c>
      <c r="C89" s="634">
        <f t="shared" si="6"/>
        <v>48277.357016687281</v>
      </c>
      <c r="D89" s="631"/>
      <c r="E89" s="617">
        <f t="shared" si="7"/>
        <v>43068.803246269992</v>
      </c>
      <c r="F89" s="617"/>
      <c r="G89" s="630">
        <f t="shared" si="8"/>
        <v>5208.5537704172893</v>
      </c>
      <c r="H89" s="630"/>
      <c r="I89" s="617">
        <f t="shared" si="9"/>
        <v>5737298.5457322486</v>
      </c>
      <c r="J89" s="617"/>
      <c r="K89" s="630">
        <f t="shared" si="10"/>
        <v>840927.0330824902</v>
      </c>
      <c r="L89" s="630"/>
      <c r="M89" s="633" t="str">
        <f t="shared" si="11"/>
        <v>NO</v>
      </c>
      <c r="N89" s="633"/>
      <c r="O89" s="633"/>
    </row>
    <row r="90" spans="1:15" ht="20.149999999999999" customHeight="1" x14ac:dyDescent="0.35">
      <c r="A90" s="217" t="s">
        <v>360</v>
      </c>
      <c r="B90" s="19">
        <f t="shared" si="5"/>
        <v>64</v>
      </c>
      <c r="C90" s="634">
        <f t="shared" si="6"/>
        <v>48277.357016687281</v>
      </c>
      <c r="D90" s="631"/>
      <c r="E90" s="617">
        <f t="shared" si="7"/>
        <v>43029.739092991862</v>
      </c>
      <c r="F90" s="617"/>
      <c r="G90" s="630">
        <f t="shared" si="8"/>
        <v>5247.6179236954194</v>
      </c>
      <c r="H90" s="630"/>
      <c r="I90" s="617">
        <f t="shared" si="9"/>
        <v>5732050.927808553</v>
      </c>
      <c r="J90" s="617"/>
      <c r="K90" s="630">
        <f t="shared" si="10"/>
        <v>858721.31470186147</v>
      </c>
      <c r="L90" s="630"/>
      <c r="M90" s="633" t="str">
        <f t="shared" si="11"/>
        <v>NO</v>
      </c>
      <c r="N90" s="633"/>
      <c r="O90" s="633"/>
    </row>
    <row r="91" spans="1:15" ht="20.149999999999999" customHeight="1" x14ac:dyDescent="0.35">
      <c r="A91" s="217" t="s">
        <v>361</v>
      </c>
      <c r="B91" s="19">
        <f t="shared" si="5"/>
        <v>65</v>
      </c>
      <c r="C91" s="634">
        <f t="shared" si="6"/>
        <v>48277.357016687281</v>
      </c>
      <c r="D91" s="631"/>
      <c r="E91" s="617">
        <f t="shared" si="7"/>
        <v>42990.381958564147</v>
      </c>
      <c r="F91" s="617"/>
      <c r="G91" s="630">
        <f t="shared" si="8"/>
        <v>5286.9750581231347</v>
      </c>
      <c r="H91" s="630"/>
      <c r="I91" s="617">
        <f t="shared" si="9"/>
        <v>5726763.9527504295</v>
      </c>
      <c r="J91" s="617"/>
      <c r="K91" s="630">
        <f t="shared" si="10"/>
        <v>876684.44257493864</v>
      </c>
      <c r="L91" s="630"/>
      <c r="M91" s="633" t="str">
        <f t="shared" si="11"/>
        <v>NO</v>
      </c>
      <c r="N91" s="633"/>
      <c r="O91" s="633"/>
    </row>
    <row r="92" spans="1:15" ht="20.149999999999999" customHeight="1" x14ac:dyDescent="0.35">
      <c r="A92" s="217" t="s">
        <v>360</v>
      </c>
      <c r="B92" s="19">
        <f t="shared" ref="B92:B155" si="12">IF(B91="","",IF(B91+1&gt;$G$14*12,"",B91+1))</f>
        <v>66</v>
      </c>
      <c r="C92" s="634">
        <f t="shared" ref="C92:C155" si="13">IF(B92="","",$G$16)</f>
        <v>48277.357016687281</v>
      </c>
      <c r="D92" s="631"/>
      <c r="E92" s="617">
        <f t="shared" ref="E92:E155" si="14">IF(B92="","",I91*$G$15/12)</f>
        <v>42950.72964562822</v>
      </c>
      <c r="F92" s="617"/>
      <c r="G92" s="630">
        <f t="shared" ref="G92:G155" si="15">IF(B92="","",$G$16-E92)</f>
        <v>5326.6273710590613</v>
      </c>
      <c r="H92" s="630"/>
      <c r="I92" s="617">
        <f t="shared" ref="I92:I155" si="16">IF(B92="","",I91-G92)</f>
        <v>5721437.3253793707</v>
      </c>
      <c r="J92" s="617"/>
      <c r="K92" s="630">
        <f t="shared" ref="K92:K155" si="17">IF(B92="","",FV((1+$G$20)^(1/12)-1,1,-$G$19,-K91,1))</f>
        <v>894818.01884886087</v>
      </c>
      <c r="L92" s="630"/>
      <c r="M92" s="633" t="str">
        <f t="shared" ref="M92:M155" si="18">IF(B92="","",IF(K92&gt;=I92,"YES","NO"))</f>
        <v>NO</v>
      </c>
      <c r="N92" s="633"/>
      <c r="O92" s="633"/>
    </row>
    <row r="93" spans="1:15" ht="20.149999999999999" customHeight="1" x14ac:dyDescent="0.35">
      <c r="A93" s="217" t="s">
        <v>361</v>
      </c>
      <c r="B93" s="19">
        <f t="shared" si="12"/>
        <v>67</v>
      </c>
      <c r="C93" s="634">
        <f t="shared" si="13"/>
        <v>48277.357016687281</v>
      </c>
      <c r="D93" s="631"/>
      <c r="E93" s="617">
        <f t="shared" si="14"/>
        <v>42910.779940345281</v>
      </c>
      <c r="F93" s="617"/>
      <c r="G93" s="630">
        <f t="shared" si="15"/>
        <v>5366.5770763420005</v>
      </c>
      <c r="H93" s="630"/>
      <c r="I93" s="617">
        <f t="shared" si="16"/>
        <v>5716070.7483030288</v>
      </c>
      <c r="J93" s="617"/>
      <c r="K93" s="630">
        <f t="shared" si="17"/>
        <v>913123.66087320982</v>
      </c>
      <c r="L93" s="630"/>
      <c r="M93" s="633" t="str">
        <f t="shared" si="18"/>
        <v>NO</v>
      </c>
      <c r="N93" s="633"/>
      <c r="O93" s="633"/>
    </row>
    <row r="94" spans="1:15" ht="20.149999999999999" customHeight="1" x14ac:dyDescent="0.35">
      <c r="A94" s="217" t="s">
        <v>360</v>
      </c>
      <c r="B94" s="19">
        <f t="shared" si="12"/>
        <v>68</v>
      </c>
      <c r="C94" s="634">
        <f t="shared" si="13"/>
        <v>48277.357016687281</v>
      </c>
      <c r="D94" s="631"/>
      <c r="E94" s="617">
        <f t="shared" si="14"/>
        <v>42870.530612272712</v>
      </c>
      <c r="F94" s="617"/>
      <c r="G94" s="630">
        <f t="shared" si="15"/>
        <v>5406.826404414569</v>
      </c>
      <c r="H94" s="630"/>
      <c r="I94" s="617">
        <f t="shared" si="16"/>
        <v>5710663.9218986146</v>
      </c>
      <c r="J94" s="617"/>
      <c r="K94" s="630">
        <f t="shared" si="17"/>
        <v>931603.00134426239</v>
      </c>
      <c r="L94" s="630"/>
      <c r="M94" s="633" t="str">
        <f t="shared" si="18"/>
        <v>NO</v>
      </c>
      <c r="N94" s="633"/>
      <c r="O94" s="633"/>
    </row>
    <row r="95" spans="1:15" ht="20.149999999999999" customHeight="1" x14ac:dyDescent="0.35">
      <c r="A95" s="217" t="s">
        <v>361</v>
      </c>
      <c r="B95" s="19">
        <f t="shared" si="12"/>
        <v>69</v>
      </c>
      <c r="C95" s="634">
        <f t="shared" si="13"/>
        <v>48277.357016687281</v>
      </c>
      <c r="D95" s="631"/>
      <c r="E95" s="617">
        <f t="shared" si="14"/>
        <v>42829.979414239606</v>
      </c>
      <c r="F95" s="617"/>
      <c r="G95" s="630">
        <f t="shared" si="15"/>
        <v>5447.3776024476756</v>
      </c>
      <c r="H95" s="630"/>
      <c r="I95" s="617">
        <f t="shared" si="16"/>
        <v>5705216.5442961669</v>
      </c>
      <c r="J95" s="617"/>
      <c r="K95" s="630">
        <f t="shared" si="17"/>
        <v>950257.68845061248</v>
      </c>
      <c r="L95" s="630"/>
      <c r="M95" s="633" t="str">
        <f t="shared" si="18"/>
        <v>NO</v>
      </c>
      <c r="N95" s="633"/>
      <c r="O95" s="633"/>
    </row>
    <row r="96" spans="1:15" ht="20.149999999999999" customHeight="1" x14ac:dyDescent="0.35">
      <c r="A96" s="217" t="s">
        <v>360</v>
      </c>
      <c r="B96" s="19">
        <f t="shared" si="12"/>
        <v>70</v>
      </c>
      <c r="C96" s="634">
        <f t="shared" si="13"/>
        <v>48277.357016687281</v>
      </c>
      <c r="D96" s="631"/>
      <c r="E96" s="617">
        <f t="shared" si="14"/>
        <v>42789.124082221249</v>
      </c>
      <c r="F96" s="617"/>
      <c r="G96" s="630">
        <f t="shared" si="15"/>
        <v>5488.232934466032</v>
      </c>
      <c r="H96" s="630"/>
      <c r="I96" s="617">
        <f t="shared" si="16"/>
        <v>5699728.3113617012</v>
      </c>
      <c r="J96" s="617"/>
      <c r="K96" s="630">
        <f t="shared" si="17"/>
        <v>969089.38602017413</v>
      </c>
      <c r="L96" s="630"/>
      <c r="M96" s="633" t="str">
        <f t="shared" si="18"/>
        <v>NO</v>
      </c>
      <c r="N96" s="633"/>
      <c r="O96" s="633"/>
    </row>
    <row r="97" spans="1:15" ht="20.149999999999999" customHeight="1" x14ac:dyDescent="0.35">
      <c r="A97" s="217" t="s">
        <v>361</v>
      </c>
      <c r="B97" s="19">
        <f t="shared" si="12"/>
        <v>71</v>
      </c>
      <c r="C97" s="634">
        <f t="shared" si="13"/>
        <v>48277.357016687281</v>
      </c>
      <c r="D97" s="631"/>
      <c r="E97" s="617">
        <f t="shared" si="14"/>
        <v>42747.96233521276</v>
      </c>
      <c r="F97" s="617"/>
      <c r="G97" s="630">
        <f t="shared" si="15"/>
        <v>5529.3946814745213</v>
      </c>
      <c r="H97" s="630"/>
      <c r="I97" s="617">
        <f t="shared" si="16"/>
        <v>5694198.916680227</v>
      </c>
      <c r="J97" s="617"/>
      <c r="K97" s="630">
        <f t="shared" si="17"/>
        <v>988099.77366857999</v>
      </c>
      <c r="L97" s="630"/>
      <c r="M97" s="633" t="str">
        <f t="shared" si="18"/>
        <v>NO</v>
      </c>
      <c r="N97" s="633"/>
      <c r="O97" s="633"/>
    </row>
    <row r="98" spans="1:15" ht="20.149999999999999" customHeight="1" x14ac:dyDescent="0.35">
      <c r="A98" s="217" t="s">
        <v>360</v>
      </c>
      <c r="B98" s="19">
        <f t="shared" si="12"/>
        <v>72</v>
      </c>
      <c r="C98" s="634">
        <f t="shared" si="13"/>
        <v>48277.357016687281</v>
      </c>
      <c r="D98" s="631"/>
      <c r="E98" s="617">
        <f t="shared" si="14"/>
        <v>42706.491875101703</v>
      </c>
      <c r="F98" s="617"/>
      <c r="G98" s="630">
        <f t="shared" si="15"/>
        <v>5570.8651415855784</v>
      </c>
      <c r="H98" s="630"/>
      <c r="I98" s="617">
        <f t="shared" si="16"/>
        <v>5688628.0515386416</v>
      </c>
      <c r="J98" s="617"/>
      <c r="K98" s="630">
        <f t="shared" si="17"/>
        <v>1007290.5469489878</v>
      </c>
      <c r="L98" s="630"/>
      <c r="M98" s="633" t="str">
        <f t="shared" si="18"/>
        <v>NO</v>
      </c>
      <c r="N98" s="633"/>
      <c r="O98" s="633"/>
    </row>
    <row r="99" spans="1:15" ht="20.149999999999999" customHeight="1" x14ac:dyDescent="0.35">
      <c r="A99" s="217" t="s">
        <v>361</v>
      </c>
      <c r="B99" s="19">
        <f t="shared" si="12"/>
        <v>73</v>
      </c>
      <c r="C99" s="634">
        <f t="shared" si="13"/>
        <v>48277.357016687281</v>
      </c>
      <c r="D99" s="631"/>
      <c r="E99" s="617">
        <f t="shared" si="14"/>
        <v>42664.710386539809</v>
      </c>
      <c r="F99" s="617"/>
      <c r="G99" s="630">
        <f t="shared" si="15"/>
        <v>5612.646630147472</v>
      </c>
      <c r="H99" s="630"/>
      <c r="I99" s="617">
        <f t="shared" si="16"/>
        <v>5683015.4049084941</v>
      </c>
      <c r="J99" s="617"/>
      <c r="K99" s="630">
        <f t="shared" si="17"/>
        <v>1026663.4175033078</v>
      </c>
      <c r="L99" s="630"/>
      <c r="M99" s="633" t="str">
        <f t="shared" si="18"/>
        <v>NO</v>
      </c>
      <c r="N99" s="633"/>
      <c r="O99" s="633"/>
    </row>
    <row r="100" spans="1:15" ht="20.149999999999999" customHeight="1" x14ac:dyDescent="0.35">
      <c r="A100" s="217" t="s">
        <v>360</v>
      </c>
      <c r="B100" s="19">
        <f t="shared" si="12"/>
        <v>74</v>
      </c>
      <c r="C100" s="634">
        <f t="shared" si="13"/>
        <v>48277.357016687281</v>
      </c>
      <c r="D100" s="631"/>
      <c r="E100" s="617">
        <f t="shared" si="14"/>
        <v>42622.615536813704</v>
      </c>
      <c r="F100" s="617"/>
      <c r="G100" s="630">
        <f t="shared" si="15"/>
        <v>5654.7414798735772</v>
      </c>
      <c r="H100" s="630"/>
      <c r="I100" s="617">
        <f t="shared" si="16"/>
        <v>5677360.6634286204</v>
      </c>
      <c r="J100" s="617"/>
      <c r="K100" s="630">
        <f t="shared" si="17"/>
        <v>1046220.1132148663</v>
      </c>
      <c r="L100" s="630"/>
      <c r="M100" s="633" t="str">
        <f t="shared" si="18"/>
        <v>NO</v>
      </c>
      <c r="N100" s="633"/>
      <c r="O100" s="633"/>
    </row>
    <row r="101" spans="1:15" ht="20.149999999999999" customHeight="1" x14ac:dyDescent="0.35">
      <c r="A101" s="217" t="s">
        <v>361</v>
      </c>
      <c r="B101" s="19">
        <f t="shared" si="12"/>
        <v>75</v>
      </c>
      <c r="C101" s="634">
        <f t="shared" si="13"/>
        <v>48277.357016687281</v>
      </c>
      <c r="D101" s="631"/>
      <c r="E101" s="617">
        <f t="shared" si="14"/>
        <v>42580.204975714652</v>
      </c>
      <c r="F101" s="617"/>
      <c r="G101" s="630">
        <f t="shared" si="15"/>
        <v>5697.152040972629</v>
      </c>
      <c r="H101" s="630"/>
      <c r="I101" s="617">
        <f t="shared" si="16"/>
        <v>5671663.5113876481</v>
      </c>
      <c r="J101" s="617"/>
      <c r="K101" s="630">
        <f t="shared" si="17"/>
        <v>1065962.3783625164</v>
      </c>
      <c r="L101" s="630"/>
      <c r="M101" s="633" t="str">
        <f t="shared" si="18"/>
        <v>NO</v>
      </c>
      <c r="N101" s="633"/>
      <c r="O101" s="633"/>
    </row>
    <row r="102" spans="1:15" ht="20.149999999999999" customHeight="1" x14ac:dyDescent="0.35">
      <c r="A102" s="217" t="s">
        <v>360</v>
      </c>
      <c r="B102" s="19">
        <f t="shared" si="12"/>
        <v>76</v>
      </c>
      <c r="C102" s="634">
        <f t="shared" si="13"/>
        <v>48277.357016687281</v>
      </c>
      <c r="D102" s="631"/>
      <c r="E102" s="617">
        <f t="shared" si="14"/>
        <v>42537.476335407358</v>
      </c>
      <c r="F102" s="617"/>
      <c r="G102" s="630">
        <f t="shared" si="15"/>
        <v>5739.880681279923</v>
      </c>
      <c r="H102" s="630"/>
      <c r="I102" s="617">
        <f t="shared" si="16"/>
        <v>5665923.630706368</v>
      </c>
      <c r="J102" s="617"/>
      <c r="K102" s="630">
        <f t="shared" si="17"/>
        <v>1085891.9737762124</v>
      </c>
      <c r="L102" s="630"/>
      <c r="M102" s="633" t="str">
        <f t="shared" si="18"/>
        <v>NO</v>
      </c>
      <c r="N102" s="633"/>
      <c r="O102" s="633"/>
    </row>
    <row r="103" spans="1:15" ht="20.149999999999999" customHeight="1" x14ac:dyDescent="0.35">
      <c r="A103" s="217" t="s">
        <v>361</v>
      </c>
      <c r="B103" s="19">
        <f t="shared" si="12"/>
        <v>77</v>
      </c>
      <c r="C103" s="634">
        <f t="shared" si="13"/>
        <v>48277.357016687281</v>
      </c>
      <c r="D103" s="631"/>
      <c r="E103" s="617">
        <f t="shared" si="14"/>
        <v>42494.427230297755</v>
      </c>
      <c r="F103" s="617"/>
      <c r="G103" s="630">
        <f t="shared" si="15"/>
        <v>5782.9297863895263</v>
      </c>
      <c r="H103" s="630"/>
      <c r="I103" s="617">
        <f t="shared" si="16"/>
        <v>5660140.7009199783</v>
      </c>
      <c r="J103" s="617"/>
      <c r="K103" s="630">
        <f t="shared" si="17"/>
        <v>1106010.676994059</v>
      </c>
      <c r="L103" s="630"/>
      <c r="M103" s="633" t="str">
        <f t="shared" si="18"/>
        <v>NO</v>
      </c>
      <c r="N103" s="633"/>
      <c r="O103" s="633"/>
    </row>
    <row r="104" spans="1:15" ht="20.149999999999999" customHeight="1" x14ac:dyDescent="0.35">
      <c r="A104" s="217" t="s">
        <v>360</v>
      </c>
      <c r="B104" s="19">
        <f t="shared" si="12"/>
        <v>78</v>
      </c>
      <c r="C104" s="634">
        <f t="shared" si="13"/>
        <v>48277.357016687281</v>
      </c>
      <c r="D104" s="631"/>
      <c r="E104" s="617">
        <f t="shared" si="14"/>
        <v>42451.055256899832</v>
      </c>
      <c r="F104" s="617"/>
      <c r="G104" s="630">
        <f t="shared" si="15"/>
        <v>5826.3017597874496</v>
      </c>
      <c r="H104" s="630"/>
      <c r="I104" s="617">
        <f t="shared" si="16"/>
        <v>5654314.3991601905</v>
      </c>
      <c r="J104" s="617"/>
      <c r="K104" s="630">
        <f t="shared" si="17"/>
        <v>1126320.282420852</v>
      </c>
      <c r="L104" s="630"/>
      <c r="M104" s="633" t="str">
        <f t="shared" si="18"/>
        <v>NO</v>
      </c>
      <c r="N104" s="633"/>
      <c r="O104" s="633"/>
    </row>
    <row r="105" spans="1:15" ht="20.149999999999999" customHeight="1" x14ac:dyDescent="0.35">
      <c r="A105" s="217" t="s">
        <v>361</v>
      </c>
      <c r="B105" s="19">
        <f t="shared" si="12"/>
        <v>79</v>
      </c>
      <c r="C105" s="634">
        <f t="shared" si="13"/>
        <v>48277.357016687281</v>
      </c>
      <c r="D105" s="631"/>
      <c r="E105" s="617">
        <f t="shared" si="14"/>
        <v>42407.357993701429</v>
      </c>
      <c r="F105" s="617"/>
      <c r="G105" s="630">
        <f t="shared" si="15"/>
        <v>5869.9990229858522</v>
      </c>
      <c r="H105" s="630"/>
      <c r="I105" s="617">
        <f t="shared" si="16"/>
        <v>5648444.4001372047</v>
      </c>
      <c r="J105" s="617"/>
      <c r="K105" s="630">
        <f t="shared" si="17"/>
        <v>1146822.6014881229</v>
      </c>
      <c r="L105" s="630"/>
      <c r="M105" s="633" t="str">
        <f t="shared" si="18"/>
        <v>NO</v>
      </c>
      <c r="N105" s="633"/>
      <c r="O105" s="633"/>
    </row>
    <row r="106" spans="1:15" ht="20.149999999999999" customHeight="1" x14ac:dyDescent="0.35">
      <c r="A106" s="217" t="s">
        <v>360</v>
      </c>
      <c r="B106" s="19">
        <f t="shared" si="12"/>
        <v>80</v>
      </c>
      <c r="C106" s="634">
        <f t="shared" si="13"/>
        <v>48277.357016687281</v>
      </c>
      <c r="D106" s="631"/>
      <c r="E106" s="617">
        <f t="shared" si="14"/>
        <v>42363.33300102903</v>
      </c>
      <c r="F106" s="617"/>
      <c r="G106" s="630">
        <f t="shared" si="15"/>
        <v>5914.0240156582513</v>
      </c>
      <c r="H106" s="630"/>
      <c r="I106" s="617">
        <f t="shared" si="16"/>
        <v>5642530.3761215461</v>
      </c>
      <c r="J106" s="617"/>
      <c r="K106" s="630">
        <f t="shared" si="17"/>
        <v>1167519.462815702</v>
      </c>
      <c r="L106" s="630"/>
      <c r="M106" s="633" t="str">
        <f t="shared" si="18"/>
        <v>NO</v>
      </c>
      <c r="N106" s="633"/>
      <c r="O106" s="633"/>
    </row>
    <row r="107" spans="1:15" ht="20.149999999999999" customHeight="1" x14ac:dyDescent="0.35">
      <c r="A107" s="217" t="s">
        <v>361</v>
      </c>
      <c r="B107" s="19">
        <f t="shared" si="12"/>
        <v>81</v>
      </c>
      <c r="C107" s="634">
        <f t="shared" si="13"/>
        <v>48277.357016687281</v>
      </c>
      <c r="D107" s="631"/>
      <c r="E107" s="617">
        <f t="shared" si="14"/>
        <v>42318.977820911598</v>
      </c>
      <c r="F107" s="617"/>
      <c r="G107" s="630">
        <f t="shared" si="15"/>
        <v>5958.3791957756839</v>
      </c>
      <c r="H107" s="630"/>
      <c r="I107" s="617">
        <f t="shared" si="16"/>
        <v>5636571.9969257703</v>
      </c>
      <c r="J107" s="617"/>
      <c r="K107" s="630">
        <f t="shared" si="17"/>
        <v>1188412.7123748141</v>
      </c>
      <c r="L107" s="630"/>
      <c r="M107" s="633" t="str">
        <f t="shared" si="18"/>
        <v>NO</v>
      </c>
      <c r="N107" s="633"/>
      <c r="O107" s="633"/>
    </row>
    <row r="108" spans="1:15" ht="20.149999999999999" customHeight="1" x14ac:dyDescent="0.35">
      <c r="A108" s="217" t="s">
        <v>360</v>
      </c>
      <c r="B108" s="19">
        <f t="shared" si="12"/>
        <v>82</v>
      </c>
      <c r="C108" s="634">
        <f t="shared" si="13"/>
        <v>48277.357016687281</v>
      </c>
      <c r="D108" s="631"/>
      <c r="E108" s="617">
        <f t="shared" si="14"/>
        <v>42274.289976943277</v>
      </c>
      <c r="F108" s="617"/>
      <c r="G108" s="630">
        <f t="shared" si="15"/>
        <v>6003.0670397440044</v>
      </c>
      <c r="H108" s="630"/>
      <c r="I108" s="617">
        <f t="shared" si="16"/>
        <v>5630568.9298860263</v>
      </c>
      <c r="J108" s="617"/>
      <c r="K108" s="630">
        <f t="shared" si="17"/>
        <v>1209504.2136527232</v>
      </c>
      <c r="L108" s="630"/>
      <c r="M108" s="633" t="str">
        <f t="shared" si="18"/>
        <v>NO</v>
      </c>
      <c r="N108" s="633"/>
      <c r="O108" s="633"/>
    </row>
    <row r="109" spans="1:15" ht="20.149999999999999" customHeight="1" x14ac:dyDescent="0.35">
      <c r="A109" s="217" t="s">
        <v>361</v>
      </c>
      <c r="B109" s="19">
        <f t="shared" si="12"/>
        <v>83</v>
      </c>
      <c r="C109" s="634">
        <f t="shared" si="13"/>
        <v>48277.357016687281</v>
      </c>
      <c r="D109" s="631"/>
      <c r="E109" s="617">
        <f t="shared" si="14"/>
        <v>42229.266974145197</v>
      </c>
      <c r="F109" s="617"/>
      <c r="G109" s="630">
        <f t="shared" si="15"/>
        <v>6048.0900425420841</v>
      </c>
      <c r="H109" s="630"/>
      <c r="I109" s="617">
        <f t="shared" si="16"/>
        <v>5624520.8398434846</v>
      </c>
      <c r="J109" s="617"/>
      <c r="K109" s="630">
        <f t="shared" si="17"/>
        <v>1230795.8478189381</v>
      </c>
      <c r="L109" s="630"/>
      <c r="M109" s="633" t="str">
        <f t="shared" si="18"/>
        <v>NO</v>
      </c>
      <c r="N109" s="633"/>
      <c r="O109" s="633"/>
    </row>
    <row r="110" spans="1:15" ht="20.149999999999999" customHeight="1" x14ac:dyDescent="0.35">
      <c r="A110" s="217" t="s">
        <v>360</v>
      </c>
      <c r="B110" s="19">
        <f t="shared" si="12"/>
        <v>84</v>
      </c>
      <c r="C110" s="634">
        <f t="shared" si="13"/>
        <v>48277.357016687281</v>
      </c>
      <c r="D110" s="631"/>
      <c r="E110" s="617">
        <f t="shared" si="14"/>
        <v>42183.906298826136</v>
      </c>
      <c r="F110" s="617"/>
      <c r="G110" s="630">
        <f t="shared" si="15"/>
        <v>6093.4507178611457</v>
      </c>
      <c r="H110" s="630"/>
      <c r="I110" s="617">
        <f t="shared" si="16"/>
        <v>5618427.3891256237</v>
      </c>
      <c r="J110" s="617"/>
      <c r="K110" s="630">
        <f t="shared" si="17"/>
        <v>1252289.513892995</v>
      </c>
      <c r="L110" s="630"/>
      <c r="M110" s="633" t="str">
        <f t="shared" si="18"/>
        <v>NO</v>
      </c>
      <c r="N110" s="633"/>
      <c r="O110" s="633"/>
    </row>
    <row r="111" spans="1:15" ht="20.149999999999999" customHeight="1" x14ac:dyDescent="0.35">
      <c r="A111" s="217" t="s">
        <v>361</v>
      </c>
      <c r="B111" s="19">
        <f t="shared" si="12"/>
        <v>85</v>
      </c>
      <c r="C111" s="634">
        <f t="shared" si="13"/>
        <v>48277.357016687281</v>
      </c>
      <c r="D111" s="631"/>
      <c r="E111" s="617">
        <f t="shared" si="14"/>
        <v>42138.20541844218</v>
      </c>
      <c r="F111" s="617"/>
      <c r="G111" s="630">
        <f t="shared" si="15"/>
        <v>6139.1515982451019</v>
      </c>
      <c r="H111" s="630"/>
      <c r="I111" s="617">
        <f t="shared" si="16"/>
        <v>5612288.2375273788</v>
      </c>
      <c r="J111" s="617"/>
      <c r="K111" s="630">
        <f t="shared" si="17"/>
        <v>1273987.1289138335</v>
      </c>
      <c r="L111" s="630"/>
      <c r="M111" s="633" t="str">
        <f t="shared" si="18"/>
        <v>NO</v>
      </c>
      <c r="N111" s="633"/>
      <c r="O111" s="633"/>
    </row>
    <row r="112" spans="1:15" ht="20.149999999999999" customHeight="1" x14ac:dyDescent="0.35">
      <c r="A112" s="217" t="s">
        <v>360</v>
      </c>
      <c r="B112" s="19">
        <f t="shared" si="12"/>
        <v>86</v>
      </c>
      <c r="C112" s="634">
        <f t="shared" si="13"/>
        <v>48277.357016687281</v>
      </c>
      <c r="D112" s="631"/>
      <c r="E112" s="617">
        <f t="shared" si="14"/>
        <v>42092.161781455339</v>
      </c>
      <c r="F112" s="617"/>
      <c r="G112" s="630">
        <f t="shared" si="15"/>
        <v>6185.1952352319422</v>
      </c>
      <c r="H112" s="630"/>
      <c r="I112" s="617">
        <f t="shared" si="16"/>
        <v>5606103.0422921469</v>
      </c>
      <c r="J112" s="617"/>
      <c r="K112" s="630">
        <f t="shared" si="17"/>
        <v>1295890.6281107792</v>
      </c>
      <c r="L112" s="630"/>
      <c r="M112" s="633" t="str">
        <f t="shared" si="18"/>
        <v>NO</v>
      </c>
      <c r="N112" s="633"/>
      <c r="O112" s="633"/>
    </row>
    <row r="113" spans="1:15" ht="20.149999999999999" customHeight="1" x14ac:dyDescent="0.35">
      <c r="A113" s="217" t="s">
        <v>361</v>
      </c>
      <c r="B113" s="19">
        <f t="shared" si="12"/>
        <v>87</v>
      </c>
      <c r="C113" s="634">
        <f t="shared" si="13"/>
        <v>48277.357016687281</v>
      </c>
      <c r="D113" s="631"/>
      <c r="E113" s="617">
        <f t="shared" si="14"/>
        <v>42045.7728171911</v>
      </c>
      <c r="F113" s="617"/>
      <c r="G113" s="630">
        <f t="shared" si="15"/>
        <v>6231.5841994961811</v>
      </c>
      <c r="H113" s="630"/>
      <c r="I113" s="617">
        <f t="shared" si="16"/>
        <v>5599871.4580926504</v>
      </c>
      <c r="J113" s="617"/>
      <c r="K113" s="630">
        <f t="shared" si="17"/>
        <v>1318001.9650761476</v>
      </c>
      <c r="L113" s="630"/>
      <c r="M113" s="633" t="str">
        <f t="shared" si="18"/>
        <v>NO</v>
      </c>
      <c r="N113" s="633"/>
      <c r="O113" s="633"/>
    </row>
    <row r="114" spans="1:15" ht="20.149999999999999" customHeight="1" x14ac:dyDescent="0.35">
      <c r="A114" s="217" t="s">
        <v>360</v>
      </c>
      <c r="B114" s="19">
        <f t="shared" si="12"/>
        <v>88</v>
      </c>
      <c r="C114" s="634">
        <f t="shared" si="13"/>
        <v>48277.357016687281</v>
      </c>
      <c r="D114" s="631"/>
      <c r="E114" s="617">
        <f t="shared" si="14"/>
        <v>41999.035935694876</v>
      </c>
      <c r="F114" s="617"/>
      <c r="G114" s="630">
        <f t="shared" si="15"/>
        <v>6278.3210809924058</v>
      </c>
      <c r="H114" s="630"/>
      <c r="I114" s="617">
        <f t="shared" si="16"/>
        <v>5593593.1370116584</v>
      </c>
      <c r="J114" s="617"/>
      <c r="K114" s="630">
        <f t="shared" si="17"/>
        <v>1340323.111939487</v>
      </c>
      <c r="L114" s="630"/>
      <c r="M114" s="633" t="str">
        <f t="shared" si="18"/>
        <v>NO</v>
      </c>
      <c r="N114" s="633"/>
      <c r="O114" s="633"/>
    </row>
    <row r="115" spans="1:15" ht="20.149999999999999" customHeight="1" x14ac:dyDescent="0.35">
      <c r="A115" s="217" t="s">
        <v>361</v>
      </c>
      <c r="B115" s="19">
        <f t="shared" si="12"/>
        <v>89</v>
      </c>
      <c r="C115" s="634">
        <f t="shared" si="13"/>
        <v>48277.357016687281</v>
      </c>
      <c r="D115" s="631"/>
      <c r="E115" s="617">
        <f t="shared" si="14"/>
        <v>41951.948527587439</v>
      </c>
      <c r="F115" s="617"/>
      <c r="G115" s="630">
        <f t="shared" si="15"/>
        <v>6325.408489099842</v>
      </c>
      <c r="H115" s="630"/>
      <c r="I115" s="617">
        <f t="shared" si="16"/>
        <v>5587267.7285225587</v>
      </c>
      <c r="J115" s="617"/>
      <c r="K115" s="630">
        <f t="shared" si="17"/>
        <v>1362856.0595434753</v>
      </c>
      <c r="L115" s="630"/>
      <c r="M115" s="633" t="str">
        <f t="shared" si="18"/>
        <v>NO</v>
      </c>
      <c r="N115" s="633"/>
      <c r="O115" s="633"/>
    </row>
    <row r="116" spans="1:15" ht="20.149999999999999" customHeight="1" x14ac:dyDescent="0.35">
      <c r="A116" s="217" t="s">
        <v>360</v>
      </c>
      <c r="B116" s="19">
        <f t="shared" si="12"/>
        <v>90</v>
      </c>
      <c r="C116" s="634">
        <f t="shared" si="13"/>
        <v>48277.357016687281</v>
      </c>
      <c r="D116" s="631"/>
      <c r="E116" s="617">
        <f t="shared" si="14"/>
        <v>41904.50796391919</v>
      </c>
      <c r="F116" s="617"/>
      <c r="G116" s="630">
        <f t="shared" si="15"/>
        <v>6372.8490527680915</v>
      </c>
      <c r="H116" s="630"/>
      <c r="I116" s="617">
        <f t="shared" si="16"/>
        <v>5580894.8794697905</v>
      </c>
      <c r="J116" s="617"/>
      <c r="K116" s="630">
        <f t="shared" si="17"/>
        <v>1385602.8176214835</v>
      </c>
      <c r="L116" s="630"/>
      <c r="M116" s="633" t="str">
        <f t="shared" si="18"/>
        <v>NO</v>
      </c>
      <c r="N116" s="633"/>
      <c r="O116" s="633"/>
    </row>
    <row r="117" spans="1:15" ht="20.149999999999999" customHeight="1" x14ac:dyDescent="0.35">
      <c r="A117" s="217" t="s">
        <v>361</v>
      </c>
      <c r="B117" s="19">
        <f t="shared" si="12"/>
        <v>91</v>
      </c>
      <c r="C117" s="634">
        <f t="shared" si="13"/>
        <v>48277.357016687281</v>
      </c>
      <c r="D117" s="631"/>
      <c r="E117" s="617">
        <f t="shared" si="14"/>
        <v>41856.71159602343</v>
      </c>
      <c r="F117" s="617"/>
      <c r="G117" s="630">
        <f t="shared" si="15"/>
        <v>6420.6454206638518</v>
      </c>
      <c r="H117" s="630"/>
      <c r="I117" s="617">
        <f t="shared" si="16"/>
        <v>5574474.2340491265</v>
      </c>
      <c r="J117" s="617"/>
      <c r="K117" s="630">
        <f t="shared" si="17"/>
        <v>1408565.4149768269</v>
      </c>
      <c r="L117" s="630"/>
      <c r="M117" s="633" t="str">
        <f t="shared" si="18"/>
        <v>NO</v>
      </c>
      <c r="N117" s="633"/>
      <c r="O117" s="633"/>
    </row>
    <row r="118" spans="1:15" ht="20.149999999999999" customHeight="1" x14ac:dyDescent="0.35">
      <c r="A118" s="217" t="s">
        <v>360</v>
      </c>
      <c r="B118" s="19">
        <f t="shared" si="12"/>
        <v>92</v>
      </c>
      <c r="C118" s="634">
        <f t="shared" si="13"/>
        <v>48277.357016687281</v>
      </c>
      <c r="D118" s="631"/>
      <c r="E118" s="617">
        <f t="shared" si="14"/>
        <v>41808.556755368445</v>
      </c>
      <c r="F118" s="617"/>
      <c r="G118" s="630">
        <f t="shared" si="15"/>
        <v>6468.8002613188364</v>
      </c>
      <c r="H118" s="630"/>
      <c r="I118" s="617">
        <f t="shared" si="16"/>
        <v>5568005.4337878078</v>
      </c>
      <c r="J118" s="617"/>
      <c r="K118" s="630">
        <f t="shared" si="17"/>
        <v>1431745.8996637154</v>
      </c>
      <c r="L118" s="630"/>
      <c r="M118" s="633" t="str">
        <f t="shared" si="18"/>
        <v>NO</v>
      </c>
      <c r="N118" s="633"/>
      <c r="O118" s="633"/>
    </row>
    <row r="119" spans="1:15" ht="20.149999999999999" customHeight="1" x14ac:dyDescent="0.35">
      <c r="A119" s="217" t="s">
        <v>361</v>
      </c>
      <c r="B119" s="19">
        <f t="shared" si="12"/>
        <v>93</v>
      </c>
      <c r="C119" s="634">
        <f t="shared" si="13"/>
        <v>48277.357016687281</v>
      </c>
      <c r="D119" s="631"/>
      <c r="E119" s="617">
        <f t="shared" si="14"/>
        <v>41760.040753408561</v>
      </c>
      <c r="F119" s="617"/>
      <c r="G119" s="630">
        <f t="shared" si="15"/>
        <v>6517.3162632787207</v>
      </c>
      <c r="H119" s="630"/>
      <c r="I119" s="617">
        <f t="shared" si="16"/>
        <v>5561488.1175245289</v>
      </c>
      <c r="J119" s="617"/>
      <c r="K119" s="630">
        <f t="shared" si="17"/>
        <v>1455146.3391699211</v>
      </c>
      <c r="L119" s="630"/>
      <c r="M119" s="633" t="str">
        <f t="shared" si="18"/>
        <v>NO</v>
      </c>
      <c r="N119" s="633"/>
      <c r="O119" s="633"/>
    </row>
    <row r="120" spans="1:15" ht="20.149999999999999" customHeight="1" x14ac:dyDescent="0.35">
      <c r="A120" s="217" t="s">
        <v>360</v>
      </c>
      <c r="B120" s="19">
        <f t="shared" si="12"/>
        <v>94</v>
      </c>
      <c r="C120" s="634">
        <f t="shared" si="13"/>
        <v>48277.357016687281</v>
      </c>
      <c r="D120" s="631"/>
      <c r="E120" s="617">
        <f t="shared" si="14"/>
        <v>41711.160881433963</v>
      </c>
      <c r="F120" s="617"/>
      <c r="G120" s="630">
        <f t="shared" si="15"/>
        <v>6566.1961352533181</v>
      </c>
      <c r="H120" s="630"/>
      <c r="I120" s="617">
        <f t="shared" si="16"/>
        <v>5554921.9213892752</v>
      </c>
      <c r="J120" s="617"/>
      <c r="K120" s="630">
        <f t="shared" si="17"/>
        <v>1478768.8206011795</v>
      </c>
      <c r="L120" s="630"/>
      <c r="M120" s="633" t="str">
        <f t="shared" si="18"/>
        <v>NO</v>
      </c>
      <c r="N120" s="633"/>
      <c r="O120" s="633"/>
    </row>
    <row r="121" spans="1:15" ht="20.149999999999999" customHeight="1" x14ac:dyDescent="0.35">
      <c r="A121" s="217" t="s">
        <v>361</v>
      </c>
      <c r="B121" s="19">
        <f t="shared" si="12"/>
        <v>95</v>
      </c>
      <c r="C121" s="634">
        <f t="shared" si="13"/>
        <v>48277.357016687281</v>
      </c>
      <c r="D121" s="631"/>
      <c r="E121" s="617">
        <f t="shared" si="14"/>
        <v>41661.914410419566</v>
      </c>
      <c r="F121" s="617"/>
      <c r="G121" s="630">
        <f t="shared" si="15"/>
        <v>6615.4426062677157</v>
      </c>
      <c r="H121" s="630"/>
      <c r="I121" s="617">
        <f t="shared" si="16"/>
        <v>5548306.4787830077</v>
      </c>
      <c r="J121" s="617"/>
      <c r="K121" s="630">
        <f t="shared" si="17"/>
        <v>1502615.45086734</v>
      </c>
      <c r="L121" s="630"/>
      <c r="M121" s="633" t="str">
        <f t="shared" si="18"/>
        <v>NO</v>
      </c>
      <c r="N121" s="633"/>
      <c r="O121" s="633"/>
    </row>
    <row r="122" spans="1:15" ht="20.149999999999999" customHeight="1" x14ac:dyDescent="0.35">
      <c r="A122" s="217" t="s">
        <v>360</v>
      </c>
      <c r="B122" s="19">
        <f t="shared" si="12"/>
        <v>96</v>
      </c>
      <c r="C122" s="634">
        <f t="shared" si="13"/>
        <v>48277.357016687281</v>
      </c>
      <c r="D122" s="631"/>
      <c r="E122" s="617">
        <f t="shared" si="14"/>
        <v>41612.29859087256</v>
      </c>
      <c r="F122" s="617"/>
      <c r="G122" s="630">
        <f t="shared" si="15"/>
        <v>6665.058425814721</v>
      </c>
      <c r="H122" s="630"/>
      <c r="I122" s="617">
        <f t="shared" si="16"/>
        <v>5541641.4203571929</v>
      </c>
      <c r="J122" s="617"/>
      <c r="K122" s="630">
        <f t="shared" si="17"/>
        <v>1526688.3568702836</v>
      </c>
      <c r="L122" s="630"/>
      <c r="M122" s="633" t="str">
        <f t="shared" si="18"/>
        <v>NO</v>
      </c>
      <c r="N122" s="633"/>
      <c r="O122" s="633"/>
    </row>
    <row r="123" spans="1:15" ht="20.149999999999999" customHeight="1" x14ac:dyDescent="0.35">
      <c r="A123" s="217" t="s">
        <v>361</v>
      </c>
      <c r="B123" s="19">
        <f t="shared" si="12"/>
        <v>97</v>
      </c>
      <c r="C123" s="634">
        <f t="shared" si="13"/>
        <v>48277.357016687281</v>
      </c>
      <c r="D123" s="631"/>
      <c r="E123" s="617">
        <f t="shared" si="14"/>
        <v>41562.310652678942</v>
      </c>
      <c r="F123" s="617"/>
      <c r="G123" s="630">
        <f t="shared" si="15"/>
        <v>6715.0463640083399</v>
      </c>
      <c r="H123" s="630"/>
      <c r="I123" s="617">
        <f t="shared" si="16"/>
        <v>5534926.3739931844</v>
      </c>
      <c r="J123" s="617"/>
      <c r="K123" s="630">
        <f t="shared" si="17"/>
        <v>1550989.6856936228</v>
      </c>
      <c r="L123" s="630"/>
      <c r="M123" s="633" t="str">
        <f t="shared" si="18"/>
        <v>NO</v>
      </c>
      <c r="N123" s="633"/>
      <c r="O123" s="633"/>
    </row>
    <row r="124" spans="1:15" ht="20.149999999999999" customHeight="1" x14ac:dyDescent="0.35">
      <c r="A124" s="217" t="s">
        <v>360</v>
      </c>
      <c r="B124" s="19">
        <f t="shared" si="12"/>
        <v>98</v>
      </c>
      <c r="C124" s="634">
        <f t="shared" si="13"/>
        <v>48277.357016687281</v>
      </c>
      <c r="D124" s="631"/>
      <c r="E124" s="617">
        <f t="shared" si="14"/>
        <v>41511.947804948883</v>
      </c>
      <c r="F124" s="617"/>
      <c r="G124" s="630">
        <f t="shared" si="15"/>
        <v>6765.4092117383989</v>
      </c>
      <c r="H124" s="630"/>
      <c r="I124" s="617">
        <f t="shared" si="16"/>
        <v>5528160.9647814464</v>
      </c>
      <c r="J124" s="617"/>
      <c r="K124" s="630">
        <f t="shared" si="17"/>
        <v>1575521.6047942019</v>
      </c>
      <c r="L124" s="630"/>
      <c r="M124" s="633" t="str">
        <f t="shared" si="18"/>
        <v>NO</v>
      </c>
      <c r="N124" s="633"/>
      <c r="O124" s="633"/>
    </row>
    <row r="125" spans="1:15" ht="20.149999999999999" customHeight="1" x14ac:dyDescent="0.35">
      <c r="A125" s="217" t="s">
        <v>361</v>
      </c>
      <c r="B125" s="19">
        <f t="shared" si="12"/>
        <v>99</v>
      </c>
      <c r="C125" s="634">
        <f t="shared" si="13"/>
        <v>48277.357016687281</v>
      </c>
      <c r="D125" s="631"/>
      <c r="E125" s="617">
        <f t="shared" si="14"/>
        <v>41461.207235860849</v>
      </c>
      <c r="F125" s="617"/>
      <c r="G125" s="630">
        <f t="shared" si="15"/>
        <v>6816.1497808264321</v>
      </c>
      <c r="H125" s="630"/>
      <c r="I125" s="617">
        <f t="shared" si="16"/>
        <v>5521344.8150006197</v>
      </c>
      <c r="J125" s="617"/>
      <c r="K125" s="630">
        <f t="shared" si="17"/>
        <v>1600286.3021954144</v>
      </c>
      <c r="L125" s="630"/>
      <c r="M125" s="633" t="str">
        <f t="shared" si="18"/>
        <v>NO</v>
      </c>
      <c r="N125" s="633"/>
      <c r="O125" s="633"/>
    </row>
    <row r="126" spans="1:15" ht="20.149999999999999" customHeight="1" x14ac:dyDescent="0.35">
      <c r="A126" s="217" t="s">
        <v>360</v>
      </c>
      <c r="B126" s="19">
        <f t="shared" si="12"/>
        <v>100</v>
      </c>
      <c r="C126" s="634">
        <f t="shared" si="13"/>
        <v>48277.357016687281</v>
      </c>
      <c r="D126" s="631"/>
      <c r="E126" s="617">
        <f t="shared" si="14"/>
        <v>41410.086112504643</v>
      </c>
      <c r="F126" s="617"/>
      <c r="G126" s="630">
        <f t="shared" si="15"/>
        <v>6867.2709041826383</v>
      </c>
      <c r="H126" s="630"/>
      <c r="I126" s="617">
        <f t="shared" si="16"/>
        <v>5514477.5440964373</v>
      </c>
      <c r="J126" s="617"/>
      <c r="K126" s="630">
        <f t="shared" si="17"/>
        <v>1625285.9866823547</v>
      </c>
      <c r="L126" s="630"/>
      <c r="M126" s="633" t="str">
        <f t="shared" si="18"/>
        <v>NO</v>
      </c>
      <c r="N126" s="633"/>
      <c r="O126" s="633"/>
    </row>
    <row r="127" spans="1:15" ht="20.149999999999999" customHeight="1" x14ac:dyDescent="0.35">
      <c r="A127" s="217" t="s">
        <v>361</v>
      </c>
      <c r="B127" s="19">
        <f t="shared" si="12"/>
        <v>101</v>
      </c>
      <c r="C127" s="634">
        <f t="shared" si="13"/>
        <v>48277.357016687281</v>
      </c>
      <c r="D127" s="631"/>
      <c r="E127" s="617">
        <f t="shared" si="14"/>
        <v>41358.581580723279</v>
      </c>
      <c r="F127" s="617"/>
      <c r="G127" s="630">
        <f t="shared" si="15"/>
        <v>6918.7754359640021</v>
      </c>
      <c r="H127" s="630"/>
      <c r="I127" s="617">
        <f t="shared" si="16"/>
        <v>5507558.7686604736</v>
      </c>
      <c r="J127" s="617"/>
      <c r="K127" s="630">
        <f t="shared" si="17"/>
        <v>1650522.8879988214</v>
      </c>
      <c r="L127" s="630"/>
      <c r="M127" s="633" t="str">
        <f t="shared" si="18"/>
        <v>NO</v>
      </c>
      <c r="N127" s="633"/>
      <c r="O127" s="633"/>
    </row>
    <row r="128" spans="1:15" ht="20.149999999999999" customHeight="1" x14ac:dyDescent="0.35">
      <c r="A128" s="217" t="s">
        <v>360</v>
      </c>
      <c r="B128" s="19">
        <f t="shared" si="12"/>
        <v>102</v>
      </c>
      <c r="C128" s="634">
        <f t="shared" si="13"/>
        <v>48277.357016687281</v>
      </c>
      <c r="D128" s="631"/>
      <c r="E128" s="617">
        <f t="shared" si="14"/>
        <v>41306.69076495355</v>
      </c>
      <c r="F128" s="617"/>
      <c r="G128" s="630">
        <f t="shared" si="15"/>
        <v>6970.6662517337318</v>
      </c>
      <c r="H128" s="630"/>
      <c r="I128" s="617">
        <f t="shared" si="16"/>
        <v>5500588.1024087397</v>
      </c>
      <c r="J128" s="617"/>
      <c r="K128" s="630">
        <f t="shared" si="17"/>
        <v>1675999.2570461906</v>
      </c>
      <c r="L128" s="630"/>
      <c r="M128" s="633" t="str">
        <f t="shared" si="18"/>
        <v>NO</v>
      </c>
      <c r="N128" s="633"/>
      <c r="O128" s="633"/>
    </row>
    <row r="129" spans="1:15" ht="20.149999999999999" customHeight="1" x14ac:dyDescent="0.35">
      <c r="A129" s="217" t="s">
        <v>361</v>
      </c>
      <c r="B129" s="19">
        <f t="shared" si="12"/>
        <v>103</v>
      </c>
      <c r="C129" s="634">
        <f t="shared" si="13"/>
        <v>48277.357016687281</v>
      </c>
      <c r="D129" s="631"/>
      <c r="E129" s="617">
        <f t="shared" si="14"/>
        <v>41254.410768065551</v>
      </c>
      <c r="F129" s="617"/>
      <c r="G129" s="630">
        <f t="shared" si="15"/>
        <v>7022.9462486217308</v>
      </c>
      <c r="H129" s="630"/>
      <c r="I129" s="617">
        <f t="shared" si="16"/>
        <v>5493565.1561601181</v>
      </c>
      <c r="J129" s="617"/>
      <c r="K129" s="630">
        <f t="shared" si="17"/>
        <v>1701717.3660841752</v>
      </c>
      <c r="L129" s="630"/>
      <c r="M129" s="633" t="str">
        <f t="shared" si="18"/>
        <v>NO</v>
      </c>
      <c r="N129" s="633"/>
      <c r="O129" s="633"/>
    </row>
    <row r="130" spans="1:15" ht="20.149999999999999" customHeight="1" x14ac:dyDescent="0.35">
      <c r="A130" s="217" t="s">
        <v>360</v>
      </c>
      <c r="B130" s="19">
        <f t="shared" si="12"/>
        <v>104</v>
      </c>
      <c r="C130" s="634">
        <f t="shared" si="13"/>
        <v>48277.357016687281</v>
      </c>
      <c r="D130" s="631"/>
      <c r="E130" s="617">
        <f t="shared" si="14"/>
        <v>41201.738671200881</v>
      </c>
      <c r="F130" s="617"/>
      <c r="G130" s="630">
        <f t="shared" si="15"/>
        <v>7075.6183454864004</v>
      </c>
      <c r="H130" s="630"/>
      <c r="I130" s="617">
        <f t="shared" si="16"/>
        <v>5486489.5378146321</v>
      </c>
      <c r="J130" s="617"/>
      <c r="K130" s="630">
        <f t="shared" si="17"/>
        <v>1727679.5089334904</v>
      </c>
      <c r="L130" s="630"/>
      <c r="M130" s="633" t="str">
        <f t="shared" si="18"/>
        <v>NO</v>
      </c>
      <c r="N130" s="633"/>
      <c r="O130" s="633"/>
    </row>
    <row r="131" spans="1:15" ht="20.149999999999999" customHeight="1" x14ac:dyDescent="0.35">
      <c r="A131" s="217" t="s">
        <v>361</v>
      </c>
      <c r="B131" s="19">
        <f t="shared" si="12"/>
        <v>105</v>
      </c>
      <c r="C131" s="634">
        <f t="shared" si="13"/>
        <v>48277.357016687281</v>
      </c>
      <c r="D131" s="631"/>
      <c r="E131" s="617">
        <f t="shared" si="14"/>
        <v>41148.67153360974</v>
      </c>
      <c r="F131" s="617"/>
      <c r="G131" s="630">
        <f t="shared" si="15"/>
        <v>7128.685483077541</v>
      </c>
      <c r="H131" s="630"/>
      <c r="I131" s="617">
        <f t="shared" si="16"/>
        <v>5479360.8523315545</v>
      </c>
      <c r="J131" s="617"/>
      <c r="K131" s="630">
        <f t="shared" si="17"/>
        <v>1753888.0011804407</v>
      </c>
      <c r="L131" s="630"/>
      <c r="M131" s="633" t="str">
        <f t="shared" si="18"/>
        <v>NO</v>
      </c>
      <c r="N131" s="633"/>
      <c r="O131" s="633"/>
    </row>
    <row r="132" spans="1:15" ht="20.149999999999999" customHeight="1" x14ac:dyDescent="0.35">
      <c r="A132" s="217" t="s">
        <v>360</v>
      </c>
      <c r="B132" s="19">
        <f t="shared" si="12"/>
        <v>106</v>
      </c>
      <c r="C132" s="634">
        <f t="shared" si="13"/>
        <v>48277.357016687281</v>
      </c>
      <c r="D132" s="631"/>
      <c r="E132" s="617">
        <f t="shared" si="14"/>
        <v>41095.20639248666</v>
      </c>
      <c r="F132" s="617"/>
      <c r="G132" s="630">
        <f t="shared" si="15"/>
        <v>7182.1506242006217</v>
      </c>
      <c r="H132" s="630"/>
      <c r="I132" s="617">
        <f t="shared" si="16"/>
        <v>5472178.7017073538</v>
      </c>
      <c r="J132" s="617"/>
      <c r="K132" s="630">
        <f t="shared" si="17"/>
        <v>1780345.1803834499</v>
      </c>
      <c r="L132" s="630"/>
      <c r="M132" s="633" t="str">
        <f t="shared" si="18"/>
        <v>NO</v>
      </c>
      <c r="N132" s="633"/>
      <c r="O132" s="633"/>
    </row>
    <row r="133" spans="1:15" ht="20.149999999999999" customHeight="1" x14ac:dyDescent="0.35">
      <c r="A133" s="217" t="s">
        <v>361</v>
      </c>
      <c r="B133" s="19">
        <f t="shared" si="12"/>
        <v>107</v>
      </c>
      <c r="C133" s="634">
        <f t="shared" si="13"/>
        <v>48277.357016687281</v>
      </c>
      <c r="D133" s="631"/>
      <c r="E133" s="617">
        <f t="shared" si="14"/>
        <v>41041.340262805148</v>
      </c>
      <c r="F133" s="617"/>
      <c r="G133" s="630">
        <f t="shared" si="15"/>
        <v>7236.0167538821333</v>
      </c>
      <c r="H133" s="630"/>
      <c r="I133" s="617">
        <f t="shared" si="16"/>
        <v>5464942.6849534716</v>
      </c>
      <c r="J133" s="617"/>
      <c r="K133" s="630">
        <f t="shared" si="17"/>
        <v>1807053.4062815497</v>
      </c>
      <c r="L133" s="630"/>
      <c r="M133" s="633" t="str">
        <f t="shared" si="18"/>
        <v>NO</v>
      </c>
      <c r="N133" s="633"/>
      <c r="O133" s="633"/>
    </row>
    <row r="134" spans="1:15" ht="20.149999999999999" customHeight="1" x14ac:dyDescent="0.35">
      <c r="A134" s="217" t="s">
        <v>360</v>
      </c>
      <c r="B134" s="19">
        <f t="shared" si="12"/>
        <v>108</v>
      </c>
      <c r="C134" s="634">
        <f t="shared" si="13"/>
        <v>48277.357016687281</v>
      </c>
      <c r="D134" s="631"/>
      <c r="E134" s="617">
        <f t="shared" si="14"/>
        <v>40987.070137151037</v>
      </c>
      <c r="F134" s="617"/>
      <c r="G134" s="630">
        <f t="shared" si="15"/>
        <v>7290.2868795362447</v>
      </c>
      <c r="H134" s="630"/>
      <c r="I134" s="617">
        <f t="shared" si="16"/>
        <v>5457652.3980739349</v>
      </c>
      <c r="J134" s="617"/>
      <c r="K134" s="630">
        <f t="shared" si="17"/>
        <v>1834015.0610048466</v>
      </c>
      <c r="L134" s="630"/>
      <c r="M134" s="633" t="str">
        <f t="shared" si="18"/>
        <v>NO</v>
      </c>
      <c r="N134" s="633"/>
      <c r="O134" s="633"/>
    </row>
    <row r="135" spans="1:15" ht="20.149999999999999" customHeight="1" x14ac:dyDescent="0.35">
      <c r="A135" s="217" t="s">
        <v>361</v>
      </c>
      <c r="B135" s="19">
        <f t="shared" si="12"/>
        <v>109</v>
      </c>
      <c r="C135" s="634">
        <f t="shared" si="13"/>
        <v>48277.357016687281</v>
      </c>
      <c r="D135" s="631"/>
      <c r="E135" s="617">
        <f t="shared" si="14"/>
        <v>40932.392985554507</v>
      </c>
      <c r="F135" s="617"/>
      <c r="G135" s="630">
        <f t="shared" si="15"/>
        <v>7344.9640311327748</v>
      </c>
      <c r="H135" s="630"/>
      <c r="I135" s="617">
        <f t="shared" si="16"/>
        <v>5450307.4340428021</v>
      </c>
      <c r="J135" s="617"/>
      <c r="K135" s="630">
        <f t="shared" si="17"/>
        <v>1861232.5492869867</v>
      </c>
      <c r="L135" s="630"/>
      <c r="M135" s="633" t="str">
        <f t="shared" si="18"/>
        <v>NO</v>
      </c>
      <c r="N135" s="633"/>
      <c r="O135" s="633"/>
    </row>
    <row r="136" spans="1:15" ht="20.149999999999999" customHeight="1" x14ac:dyDescent="0.35">
      <c r="A136" s="217" t="s">
        <v>360</v>
      </c>
      <c r="B136" s="19">
        <f t="shared" si="12"/>
        <v>110</v>
      </c>
      <c r="C136" s="634">
        <f t="shared" si="13"/>
        <v>48277.357016687281</v>
      </c>
      <c r="D136" s="631"/>
      <c r="E136" s="617">
        <f t="shared" si="14"/>
        <v>40877.305755321016</v>
      </c>
      <c r="F136" s="617"/>
      <c r="G136" s="630">
        <f t="shared" si="15"/>
        <v>7400.051261366265</v>
      </c>
      <c r="H136" s="630"/>
      <c r="I136" s="617">
        <f t="shared" si="16"/>
        <v>5442907.3827814357</v>
      </c>
      <c r="J136" s="617"/>
      <c r="K136" s="630">
        <f t="shared" si="17"/>
        <v>1888708.2986796354</v>
      </c>
      <c r="L136" s="630"/>
      <c r="M136" s="633" t="str">
        <f t="shared" si="18"/>
        <v>NO</v>
      </c>
      <c r="N136" s="633"/>
      <c r="O136" s="633"/>
    </row>
    <row r="137" spans="1:15" ht="20.149999999999999" customHeight="1" x14ac:dyDescent="0.35">
      <c r="A137" s="217" t="s">
        <v>361</v>
      </c>
      <c r="B137" s="19">
        <f t="shared" si="12"/>
        <v>111</v>
      </c>
      <c r="C137" s="634">
        <f t="shared" si="13"/>
        <v>48277.357016687281</v>
      </c>
      <c r="D137" s="631"/>
      <c r="E137" s="617">
        <f t="shared" si="14"/>
        <v>40821.805370860769</v>
      </c>
      <c r="F137" s="617"/>
      <c r="G137" s="630">
        <f t="shared" si="15"/>
        <v>7455.551645826512</v>
      </c>
      <c r="H137" s="630"/>
      <c r="I137" s="617">
        <f t="shared" si="16"/>
        <v>5435451.8311356092</v>
      </c>
      <c r="J137" s="617"/>
      <c r="K137" s="630">
        <f t="shared" si="17"/>
        <v>1916444.7597689934</v>
      </c>
      <c r="L137" s="630"/>
      <c r="M137" s="633" t="str">
        <f t="shared" si="18"/>
        <v>NO</v>
      </c>
      <c r="N137" s="633"/>
      <c r="O137" s="633"/>
    </row>
    <row r="138" spans="1:15" ht="20.149999999999999" customHeight="1" x14ac:dyDescent="0.35">
      <c r="A138" s="217" t="s">
        <v>360</v>
      </c>
      <c r="B138" s="19">
        <f t="shared" si="12"/>
        <v>112</v>
      </c>
      <c r="C138" s="634">
        <f t="shared" si="13"/>
        <v>48277.357016687281</v>
      </c>
      <c r="D138" s="631"/>
      <c r="E138" s="617">
        <f t="shared" si="14"/>
        <v>40765.888733517066</v>
      </c>
      <c r="F138" s="617"/>
      <c r="G138" s="630">
        <f t="shared" si="15"/>
        <v>7511.4682831702157</v>
      </c>
      <c r="H138" s="630"/>
      <c r="I138" s="617">
        <f t="shared" si="16"/>
        <v>5427940.3628524393</v>
      </c>
      <c r="J138" s="617"/>
      <c r="K138" s="630">
        <f t="shared" si="17"/>
        <v>1944444.4063943664</v>
      </c>
      <c r="L138" s="630"/>
      <c r="M138" s="633" t="str">
        <f t="shared" si="18"/>
        <v>NO</v>
      </c>
      <c r="N138" s="633"/>
      <c r="O138" s="633"/>
    </row>
    <row r="139" spans="1:15" ht="20.149999999999999" customHeight="1" x14ac:dyDescent="0.35">
      <c r="A139" s="217" t="s">
        <v>361</v>
      </c>
      <c r="B139" s="19">
        <f t="shared" si="12"/>
        <v>113</v>
      </c>
      <c r="C139" s="634">
        <f t="shared" si="13"/>
        <v>48277.357016687281</v>
      </c>
      <c r="D139" s="631"/>
      <c r="E139" s="617">
        <f t="shared" si="14"/>
        <v>40709.552721393295</v>
      </c>
      <c r="F139" s="617"/>
      <c r="G139" s="630">
        <f t="shared" si="15"/>
        <v>7567.8042952939868</v>
      </c>
      <c r="H139" s="630"/>
      <c r="I139" s="617">
        <f t="shared" si="16"/>
        <v>5420372.5585571453</v>
      </c>
      <c r="J139" s="617"/>
      <c r="K139" s="630">
        <f t="shared" si="17"/>
        <v>1972709.735868809</v>
      </c>
      <c r="L139" s="630"/>
      <c r="M139" s="633" t="str">
        <f t="shared" si="18"/>
        <v>NO</v>
      </c>
      <c r="N139" s="633"/>
      <c r="O139" s="633"/>
    </row>
    <row r="140" spans="1:15" ht="20.149999999999999" customHeight="1" x14ac:dyDescent="0.35">
      <c r="A140" s="217" t="s">
        <v>360</v>
      </c>
      <c r="B140" s="19">
        <f t="shared" si="12"/>
        <v>114</v>
      </c>
      <c r="C140" s="634">
        <f t="shared" si="13"/>
        <v>48277.357016687281</v>
      </c>
      <c r="D140" s="631"/>
      <c r="E140" s="617">
        <f t="shared" si="14"/>
        <v>40652.794189178589</v>
      </c>
      <c r="F140" s="617"/>
      <c r="G140" s="630">
        <f t="shared" si="15"/>
        <v>7624.5628275086929</v>
      </c>
      <c r="H140" s="630"/>
      <c r="I140" s="617">
        <f t="shared" si="16"/>
        <v>5412747.9957296364</v>
      </c>
      <c r="J140" s="617"/>
      <c r="K140" s="630">
        <f t="shared" si="17"/>
        <v>2001243.2692018626</v>
      </c>
      <c r="L140" s="630"/>
      <c r="M140" s="633" t="str">
        <f t="shared" si="18"/>
        <v>NO</v>
      </c>
      <c r="N140" s="633"/>
      <c r="O140" s="633"/>
    </row>
    <row r="141" spans="1:15" ht="20.149999999999999" customHeight="1" x14ac:dyDescent="0.35">
      <c r="A141" s="217" t="s">
        <v>361</v>
      </c>
      <c r="B141" s="19">
        <f t="shared" si="12"/>
        <v>115</v>
      </c>
      <c r="C141" s="634">
        <f t="shared" si="13"/>
        <v>48277.357016687281</v>
      </c>
      <c r="D141" s="631"/>
      <c r="E141" s="617">
        <f t="shared" si="14"/>
        <v>40595.609967972276</v>
      </c>
      <c r="F141" s="617"/>
      <c r="G141" s="630">
        <f t="shared" si="15"/>
        <v>7681.7470487150058</v>
      </c>
      <c r="H141" s="630"/>
      <c r="I141" s="617">
        <f t="shared" si="16"/>
        <v>5405066.2486809213</v>
      </c>
      <c r="J141" s="617"/>
      <c r="K141" s="630">
        <f t="shared" si="17"/>
        <v>2030047.5513244055</v>
      </c>
      <c r="L141" s="630"/>
      <c r="M141" s="633" t="str">
        <f t="shared" si="18"/>
        <v>NO</v>
      </c>
      <c r="N141" s="633"/>
      <c r="O141" s="633"/>
    </row>
    <row r="142" spans="1:15" ht="20.149999999999999" customHeight="1" x14ac:dyDescent="0.35">
      <c r="A142" s="217" t="s">
        <v>360</v>
      </c>
      <c r="B142" s="19">
        <f t="shared" si="12"/>
        <v>116</v>
      </c>
      <c r="C142" s="634">
        <f t="shared" si="13"/>
        <v>48277.357016687281</v>
      </c>
      <c r="D142" s="631"/>
      <c r="E142" s="617">
        <f t="shared" si="14"/>
        <v>40537.996865106907</v>
      </c>
      <c r="F142" s="617"/>
      <c r="G142" s="630">
        <f t="shared" si="15"/>
        <v>7739.3601515803748</v>
      </c>
      <c r="H142" s="630"/>
      <c r="I142" s="617">
        <f t="shared" si="16"/>
        <v>5397326.8885293407</v>
      </c>
      <c r="J142" s="617"/>
      <c r="K142" s="630">
        <f t="shared" si="17"/>
        <v>2059125.1513156386</v>
      </c>
      <c r="L142" s="630"/>
      <c r="M142" s="633" t="str">
        <f t="shared" si="18"/>
        <v>NO</v>
      </c>
      <c r="N142" s="633"/>
      <c r="O142" s="633"/>
    </row>
    <row r="143" spans="1:15" ht="20.149999999999999" customHeight="1" x14ac:dyDescent="0.35">
      <c r="A143" s="217" t="s">
        <v>361</v>
      </c>
      <c r="B143" s="19">
        <f t="shared" si="12"/>
        <v>117</v>
      </c>
      <c r="C143" s="634">
        <f t="shared" si="13"/>
        <v>48277.357016687281</v>
      </c>
      <c r="D143" s="631"/>
      <c r="E143" s="617">
        <f t="shared" si="14"/>
        <v>40479.951663970052</v>
      </c>
      <c r="F143" s="617"/>
      <c r="G143" s="630">
        <f t="shared" si="15"/>
        <v>7797.4053527172291</v>
      </c>
      <c r="H143" s="630"/>
      <c r="I143" s="617">
        <f t="shared" si="16"/>
        <v>5389529.4831766235</v>
      </c>
      <c r="J143" s="617"/>
      <c r="K143" s="630">
        <f t="shared" si="17"/>
        <v>2088478.662632223</v>
      </c>
      <c r="L143" s="630"/>
      <c r="M143" s="633" t="str">
        <f t="shared" si="18"/>
        <v>NO</v>
      </c>
      <c r="N143" s="633"/>
      <c r="O143" s="633"/>
    </row>
    <row r="144" spans="1:15" ht="20.149999999999999" customHeight="1" x14ac:dyDescent="0.35">
      <c r="A144" s="217" t="s">
        <v>360</v>
      </c>
      <c r="B144" s="19">
        <f t="shared" si="12"/>
        <v>118</v>
      </c>
      <c r="C144" s="634">
        <f t="shared" si="13"/>
        <v>48277.357016687281</v>
      </c>
      <c r="D144" s="631"/>
      <c r="E144" s="617">
        <f t="shared" si="14"/>
        <v>40421.471123824675</v>
      </c>
      <c r="F144" s="617"/>
      <c r="G144" s="630">
        <f t="shared" si="15"/>
        <v>7855.8858928626069</v>
      </c>
      <c r="H144" s="630"/>
      <c r="I144" s="617">
        <f t="shared" si="16"/>
        <v>5381673.597283761</v>
      </c>
      <c r="J144" s="617"/>
      <c r="K144" s="630">
        <f t="shared" si="17"/>
        <v>2118110.703339593</v>
      </c>
      <c r="L144" s="630"/>
      <c r="M144" s="633" t="str">
        <f t="shared" si="18"/>
        <v>NO</v>
      </c>
      <c r="N144" s="633"/>
      <c r="O144" s="633"/>
    </row>
    <row r="145" spans="1:15" ht="20.149999999999999" customHeight="1" x14ac:dyDescent="0.35">
      <c r="A145" s="217" t="s">
        <v>361</v>
      </c>
      <c r="B145" s="19">
        <f t="shared" si="12"/>
        <v>119</v>
      </c>
      <c r="C145" s="634">
        <f t="shared" si="13"/>
        <v>48277.357016687281</v>
      </c>
      <c r="D145" s="631"/>
      <c r="E145" s="617">
        <f t="shared" si="14"/>
        <v>40362.55197962821</v>
      </c>
      <c r="F145" s="617"/>
      <c r="G145" s="630">
        <f t="shared" si="15"/>
        <v>7914.8050370590718</v>
      </c>
      <c r="H145" s="630"/>
      <c r="I145" s="617">
        <f t="shared" si="16"/>
        <v>5373758.7922467021</v>
      </c>
      <c r="J145" s="617"/>
      <c r="K145" s="630">
        <f t="shared" si="17"/>
        <v>2148023.9163454645</v>
      </c>
      <c r="L145" s="630"/>
      <c r="M145" s="633" t="str">
        <f t="shared" si="18"/>
        <v>NO</v>
      </c>
      <c r="N145" s="633"/>
      <c r="O145" s="633"/>
    </row>
    <row r="146" spans="1:15" ht="20.149999999999999" customHeight="1" x14ac:dyDescent="0.35">
      <c r="A146" s="217" t="s">
        <v>360</v>
      </c>
      <c r="B146" s="19">
        <f t="shared" si="12"/>
        <v>120</v>
      </c>
      <c r="C146" s="634">
        <f t="shared" si="13"/>
        <v>48277.357016687281</v>
      </c>
      <c r="D146" s="631"/>
      <c r="E146" s="617">
        <f t="shared" si="14"/>
        <v>40303.190941850269</v>
      </c>
      <c r="F146" s="617"/>
      <c r="G146" s="630">
        <f t="shared" si="15"/>
        <v>7974.1660748370123</v>
      </c>
      <c r="H146" s="630"/>
      <c r="I146" s="617">
        <f t="shared" si="16"/>
        <v>5365784.6261718655</v>
      </c>
      <c r="J146" s="617"/>
      <c r="K146" s="630">
        <f t="shared" si="17"/>
        <v>2178220.9696355569</v>
      </c>
      <c r="L146" s="630"/>
      <c r="M146" s="633" t="str">
        <f t="shared" si="18"/>
        <v>NO</v>
      </c>
      <c r="N146" s="633"/>
      <c r="O146" s="633"/>
    </row>
    <row r="147" spans="1:15" ht="20.149999999999999" customHeight="1" x14ac:dyDescent="0.35">
      <c r="A147" s="217" t="s">
        <v>361</v>
      </c>
      <c r="B147" s="19">
        <f t="shared" si="12"/>
        <v>121</v>
      </c>
      <c r="C147" s="634">
        <f t="shared" si="13"/>
        <v>48277.357016687281</v>
      </c>
      <c r="D147" s="631"/>
      <c r="E147" s="617">
        <f t="shared" si="14"/>
        <v>40243.384696288987</v>
      </c>
      <c r="F147" s="617"/>
      <c r="G147" s="630">
        <f t="shared" si="15"/>
        <v>8033.972320398294</v>
      </c>
      <c r="H147" s="630"/>
      <c r="I147" s="617">
        <f t="shared" si="16"/>
        <v>5357750.6538514672</v>
      </c>
      <c r="J147" s="617"/>
      <c r="K147" s="630">
        <f t="shared" si="17"/>
        <v>2208704.5565115535</v>
      </c>
      <c r="L147" s="630"/>
      <c r="M147" s="633" t="str">
        <f t="shared" si="18"/>
        <v>NO</v>
      </c>
      <c r="N147" s="633"/>
      <c r="O147" s="633"/>
    </row>
    <row r="148" spans="1:15" ht="20.149999999999999" customHeight="1" x14ac:dyDescent="0.35">
      <c r="A148" s="217" t="s">
        <v>360</v>
      </c>
      <c r="B148" s="19">
        <f t="shared" si="12"/>
        <v>122</v>
      </c>
      <c r="C148" s="634">
        <f t="shared" si="13"/>
        <v>48277.357016687281</v>
      </c>
      <c r="D148" s="631"/>
      <c r="E148" s="617">
        <f t="shared" si="14"/>
        <v>40183.129903886002</v>
      </c>
      <c r="F148" s="617"/>
      <c r="G148" s="630">
        <f t="shared" si="15"/>
        <v>8094.2271128012799</v>
      </c>
      <c r="H148" s="630"/>
      <c r="I148" s="617">
        <f t="shared" si="16"/>
        <v>5349656.4267386664</v>
      </c>
      <c r="J148" s="617"/>
      <c r="K148" s="630">
        <f t="shared" si="17"/>
        <v>2239477.39583132</v>
      </c>
      <c r="L148" s="630"/>
      <c r="M148" s="633" t="str">
        <f t="shared" si="18"/>
        <v>NO</v>
      </c>
      <c r="N148" s="633"/>
      <c r="O148" s="633"/>
    </row>
    <row r="149" spans="1:15" ht="20.149999999999999" customHeight="1" x14ac:dyDescent="0.35">
      <c r="A149" s="217" t="s">
        <v>361</v>
      </c>
      <c r="B149" s="19">
        <f t="shared" si="12"/>
        <v>123</v>
      </c>
      <c r="C149" s="634">
        <f t="shared" si="13"/>
        <v>48277.357016687281</v>
      </c>
      <c r="D149" s="631"/>
      <c r="E149" s="617">
        <f t="shared" si="14"/>
        <v>40122.423200539997</v>
      </c>
      <c r="F149" s="617"/>
      <c r="G149" s="630">
        <f t="shared" si="15"/>
        <v>8154.9338161472842</v>
      </c>
      <c r="H149" s="630"/>
      <c r="I149" s="617">
        <f t="shared" si="16"/>
        <v>5341501.4929225193</v>
      </c>
      <c r="J149" s="617"/>
      <c r="K149" s="630">
        <f t="shared" si="17"/>
        <v>2270542.2322514006</v>
      </c>
      <c r="L149" s="630"/>
      <c r="M149" s="633" t="str">
        <f t="shared" si="18"/>
        <v>NO</v>
      </c>
      <c r="N149" s="633"/>
      <c r="O149" s="633"/>
    </row>
    <row r="150" spans="1:15" ht="20.149999999999999" customHeight="1" x14ac:dyDescent="0.35">
      <c r="A150" s="217" t="s">
        <v>360</v>
      </c>
      <c r="B150" s="19">
        <f t="shared" si="12"/>
        <v>124</v>
      </c>
      <c r="C150" s="634">
        <f t="shared" si="13"/>
        <v>48277.357016687281</v>
      </c>
      <c r="D150" s="631"/>
      <c r="E150" s="617">
        <f t="shared" si="14"/>
        <v>40061.261196918895</v>
      </c>
      <c r="F150" s="617"/>
      <c r="G150" s="630">
        <f t="shared" si="15"/>
        <v>8216.0958197683867</v>
      </c>
      <c r="H150" s="630"/>
      <c r="I150" s="617">
        <f t="shared" si="16"/>
        <v>5333285.3971027508</v>
      </c>
      <c r="J150" s="617"/>
      <c r="K150" s="630">
        <f t="shared" si="17"/>
        <v>2301901.8364718184</v>
      </c>
      <c r="L150" s="630"/>
      <c r="M150" s="633" t="str">
        <f t="shared" si="18"/>
        <v>NO</v>
      </c>
      <c r="N150" s="633"/>
      <c r="O150" s="633"/>
    </row>
    <row r="151" spans="1:15" ht="20.149999999999999" customHeight="1" x14ac:dyDescent="0.35">
      <c r="A151" s="217" t="s">
        <v>361</v>
      </c>
      <c r="B151" s="19">
        <f t="shared" si="12"/>
        <v>125</v>
      </c>
      <c r="C151" s="634">
        <f t="shared" si="13"/>
        <v>48277.357016687281</v>
      </c>
      <c r="D151" s="631"/>
      <c r="E151" s="617">
        <f t="shared" si="14"/>
        <v>39999.64047827063</v>
      </c>
      <c r="F151" s="617"/>
      <c r="G151" s="630">
        <f t="shared" si="15"/>
        <v>8277.716538416651</v>
      </c>
      <c r="H151" s="630"/>
      <c r="I151" s="617">
        <f t="shared" si="16"/>
        <v>5325007.6805643346</v>
      </c>
      <c r="J151" s="617"/>
      <c r="K151" s="630">
        <f t="shared" si="17"/>
        <v>2333559.0054831943</v>
      </c>
      <c r="L151" s="630"/>
      <c r="M151" s="633" t="str">
        <f t="shared" si="18"/>
        <v>NO</v>
      </c>
      <c r="N151" s="633"/>
      <c r="O151" s="633"/>
    </row>
    <row r="152" spans="1:15" ht="20.149999999999999" customHeight="1" x14ac:dyDescent="0.35">
      <c r="A152" s="217" t="s">
        <v>360</v>
      </c>
      <c r="B152" s="19">
        <f t="shared" si="12"/>
        <v>126</v>
      </c>
      <c r="C152" s="634">
        <f t="shared" si="13"/>
        <v>48277.357016687281</v>
      </c>
      <c r="D152" s="631"/>
      <c r="E152" s="617">
        <f t="shared" si="14"/>
        <v>39937.557604232505</v>
      </c>
      <c r="F152" s="617"/>
      <c r="G152" s="630">
        <f t="shared" si="15"/>
        <v>8339.7994124547768</v>
      </c>
      <c r="H152" s="630"/>
      <c r="I152" s="617">
        <f t="shared" si="16"/>
        <v>5316667.8811518801</v>
      </c>
      <c r="J152" s="617"/>
      <c r="K152" s="630">
        <f t="shared" si="17"/>
        <v>2365516.5628162138</v>
      </c>
      <c r="L152" s="630"/>
      <c r="M152" s="633" t="str">
        <f t="shared" si="18"/>
        <v>NO</v>
      </c>
      <c r="N152" s="633"/>
      <c r="O152" s="633"/>
    </row>
    <row r="153" spans="1:15" ht="20.149999999999999" customHeight="1" x14ac:dyDescent="0.35">
      <c r="A153" s="217" t="s">
        <v>361</v>
      </c>
      <c r="B153" s="19">
        <f t="shared" si="12"/>
        <v>127</v>
      </c>
      <c r="C153" s="634">
        <f t="shared" si="13"/>
        <v>48277.357016687281</v>
      </c>
      <c r="D153" s="631"/>
      <c r="E153" s="617">
        <f t="shared" si="14"/>
        <v>39875.009108639097</v>
      </c>
      <c r="F153" s="617"/>
      <c r="G153" s="630">
        <f t="shared" si="15"/>
        <v>8402.3479080481848</v>
      </c>
      <c r="H153" s="630"/>
      <c r="I153" s="617">
        <f t="shared" si="16"/>
        <v>5308265.5332438322</v>
      </c>
      <c r="J153" s="617"/>
      <c r="K153" s="630">
        <f t="shared" si="17"/>
        <v>2397777.3587934617</v>
      </c>
      <c r="L153" s="630"/>
      <c r="M153" s="633" t="str">
        <f t="shared" si="18"/>
        <v>NO</v>
      </c>
      <c r="N153" s="633"/>
      <c r="O153" s="633"/>
    </row>
    <row r="154" spans="1:15" ht="20.149999999999999" customHeight="1" x14ac:dyDescent="0.35">
      <c r="A154" s="217" t="s">
        <v>360</v>
      </c>
      <c r="B154" s="19">
        <f t="shared" si="12"/>
        <v>128</v>
      </c>
      <c r="C154" s="634">
        <f t="shared" si="13"/>
        <v>48277.357016687281</v>
      </c>
      <c r="D154" s="631"/>
      <c r="E154" s="617">
        <f t="shared" si="14"/>
        <v>39811.991499328738</v>
      </c>
      <c r="F154" s="617"/>
      <c r="G154" s="630">
        <f t="shared" si="15"/>
        <v>8465.365517358543</v>
      </c>
      <c r="H154" s="630"/>
      <c r="I154" s="617">
        <f t="shared" si="16"/>
        <v>5299800.1677264739</v>
      </c>
      <c r="J154" s="617"/>
      <c r="K154" s="630">
        <f t="shared" si="17"/>
        <v>2430344.2707836423</v>
      </c>
      <c r="L154" s="630"/>
      <c r="M154" s="633" t="str">
        <f t="shared" si="18"/>
        <v>NO</v>
      </c>
      <c r="N154" s="633"/>
      <c r="O154" s="633"/>
    </row>
    <row r="155" spans="1:15" ht="20.149999999999999" customHeight="1" x14ac:dyDescent="0.35">
      <c r="A155" s="217" t="s">
        <v>361</v>
      </c>
      <c r="B155" s="19">
        <f t="shared" si="12"/>
        <v>129</v>
      </c>
      <c r="C155" s="634">
        <f t="shared" si="13"/>
        <v>48277.357016687281</v>
      </c>
      <c r="D155" s="631"/>
      <c r="E155" s="617">
        <f t="shared" si="14"/>
        <v>39748.501257948556</v>
      </c>
      <c r="F155" s="617"/>
      <c r="G155" s="630">
        <f t="shared" si="15"/>
        <v>8528.8557587387259</v>
      </c>
      <c r="H155" s="630"/>
      <c r="I155" s="617">
        <f t="shared" si="16"/>
        <v>5291271.3119677352</v>
      </c>
      <c r="J155" s="617"/>
      <c r="K155" s="630">
        <f t="shared" si="17"/>
        <v>2463220.2034582165</v>
      </c>
      <c r="L155" s="630"/>
      <c r="M155" s="633" t="str">
        <f t="shared" si="18"/>
        <v>NO</v>
      </c>
      <c r="N155" s="633"/>
      <c r="O155" s="633"/>
    </row>
    <row r="156" spans="1:15" ht="20.149999999999999" customHeight="1" x14ac:dyDescent="0.35">
      <c r="A156" s="217" t="s">
        <v>360</v>
      </c>
      <c r="B156" s="19">
        <f t="shared" ref="B156:B219" si="19">IF(B155="","",IF(B155+1&gt;$G$14*12,"",B155+1))</f>
        <v>130</v>
      </c>
      <c r="C156" s="634">
        <f t="shared" ref="C156:C219" si="20">IF(B156="","",$G$16)</f>
        <v>48277.357016687281</v>
      </c>
      <c r="D156" s="631"/>
      <c r="E156" s="617">
        <f t="shared" ref="E156:E219" si="21">IF(B156="","",I155*$G$15/12)</f>
        <v>39684.534839758016</v>
      </c>
      <c r="F156" s="617"/>
      <c r="G156" s="630">
        <f t="shared" ref="G156:G219" si="22">IF(B156="","",$G$16-E156)</f>
        <v>8592.822176929265</v>
      </c>
      <c r="H156" s="630"/>
      <c r="I156" s="617">
        <f t="shared" ref="I156:I219" si="23">IF(B156="","",I155-G156)</f>
        <v>5282678.4897908056</v>
      </c>
      <c r="J156" s="617"/>
      <c r="K156" s="630">
        <f t="shared" ref="K156:K219" si="24">IF(B156="","",FV((1+$G$20)^(1/12)-1,1,-$G$19,-K155,1))</f>
        <v>2496408.0890504713</v>
      </c>
      <c r="L156" s="630"/>
      <c r="M156" s="633" t="str">
        <f t="shared" ref="M156:M219" si="25">IF(B156="","",IF(K156&gt;=I156,"YES","NO"))</f>
        <v>NO</v>
      </c>
      <c r="N156" s="633"/>
      <c r="O156" s="633"/>
    </row>
    <row r="157" spans="1:15" ht="20.149999999999999" customHeight="1" x14ac:dyDescent="0.35">
      <c r="A157" s="217" t="s">
        <v>361</v>
      </c>
      <c r="B157" s="19">
        <f t="shared" si="19"/>
        <v>131</v>
      </c>
      <c r="C157" s="634">
        <f t="shared" si="20"/>
        <v>48277.357016687281</v>
      </c>
      <c r="D157" s="631"/>
      <c r="E157" s="617">
        <f t="shared" si="21"/>
        <v>39620.088673431041</v>
      </c>
      <c r="F157" s="617"/>
      <c r="G157" s="630">
        <f t="shared" si="22"/>
        <v>8657.2683432562408</v>
      </c>
      <c r="H157" s="630"/>
      <c r="I157" s="617">
        <f t="shared" si="23"/>
        <v>5274021.2214475498</v>
      </c>
      <c r="J157" s="617"/>
      <c r="K157" s="630">
        <f t="shared" si="24"/>
        <v>2529910.8876170474</v>
      </c>
      <c r="L157" s="630"/>
      <c r="M157" s="633" t="str">
        <f t="shared" si="25"/>
        <v>NO</v>
      </c>
      <c r="N157" s="633"/>
      <c r="O157" s="633"/>
    </row>
    <row r="158" spans="1:15" ht="20.149999999999999" customHeight="1" x14ac:dyDescent="0.35">
      <c r="A158" s="217" t="s">
        <v>360</v>
      </c>
      <c r="B158" s="19">
        <f t="shared" si="19"/>
        <v>132</v>
      </c>
      <c r="C158" s="634">
        <f t="shared" si="20"/>
        <v>48277.357016687281</v>
      </c>
      <c r="D158" s="631"/>
      <c r="E158" s="617">
        <f t="shared" si="21"/>
        <v>39555.159160856623</v>
      </c>
      <c r="F158" s="617"/>
      <c r="G158" s="630">
        <f t="shared" si="22"/>
        <v>8722.1978558306582</v>
      </c>
      <c r="H158" s="630"/>
      <c r="I158" s="617">
        <f t="shared" si="23"/>
        <v>5265299.0235917196</v>
      </c>
      <c r="J158" s="617"/>
      <c r="K158" s="630">
        <f t="shared" si="24"/>
        <v>2563731.5873019509</v>
      </c>
      <c r="L158" s="630"/>
      <c r="M158" s="633" t="str">
        <f t="shared" si="25"/>
        <v>NO</v>
      </c>
      <c r="N158" s="633"/>
      <c r="O158" s="633"/>
    </row>
    <row r="159" spans="1:15" ht="20.149999999999999" customHeight="1" x14ac:dyDescent="0.35">
      <c r="A159" s="217" t="s">
        <v>361</v>
      </c>
      <c r="B159" s="19">
        <f t="shared" si="19"/>
        <v>133</v>
      </c>
      <c r="C159" s="634">
        <f t="shared" si="20"/>
        <v>48277.357016687281</v>
      </c>
      <c r="D159" s="631"/>
      <c r="E159" s="617">
        <f t="shared" si="21"/>
        <v>39489.742676937894</v>
      </c>
      <c r="F159" s="617"/>
      <c r="G159" s="630">
        <f t="shared" si="22"/>
        <v>8787.614339749387</v>
      </c>
      <c r="H159" s="630"/>
      <c r="I159" s="617">
        <f t="shared" si="23"/>
        <v>5256511.4092519702</v>
      </c>
      <c r="J159" s="617"/>
      <c r="K159" s="630">
        <f t="shared" si="24"/>
        <v>2597873.2046030671</v>
      </c>
      <c r="L159" s="630"/>
      <c r="M159" s="633" t="str">
        <f t="shared" si="25"/>
        <v>NO</v>
      </c>
      <c r="N159" s="633"/>
      <c r="O159" s="633"/>
    </row>
    <row r="160" spans="1:15" ht="20.149999999999999" customHeight="1" x14ac:dyDescent="0.35">
      <c r="A160" s="217" t="s">
        <v>360</v>
      </c>
      <c r="B160" s="19">
        <f t="shared" si="19"/>
        <v>134</v>
      </c>
      <c r="C160" s="634">
        <f t="shared" si="20"/>
        <v>48277.357016687281</v>
      </c>
      <c r="D160" s="631"/>
      <c r="E160" s="617">
        <f t="shared" si="21"/>
        <v>39423.835569389776</v>
      </c>
      <c r="F160" s="617"/>
      <c r="G160" s="630">
        <f t="shared" si="22"/>
        <v>8853.5214472975058</v>
      </c>
      <c r="H160" s="630"/>
      <c r="I160" s="617">
        <f t="shared" si="23"/>
        <v>5247657.8878046731</v>
      </c>
      <c r="J160" s="617"/>
      <c r="K160" s="630">
        <f t="shared" si="24"/>
        <v>2632338.7846412053</v>
      </c>
      <c r="L160" s="630"/>
      <c r="M160" s="633" t="str">
        <f t="shared" si="25"/>
        <v>NO</v>
      </c>
      <c r="N160" s="633"/>
      <c r="O160" s="633"/>
    </row>
    <row r="161" spans="1:15" ht="20.149999999999999" customHeight="1" x14ac:dyDescent="0.35">
      <c r="A161" s="217" t="s">
        <v>361</v>
      </c>
      <c r="B161" s="19">
        <f t="shared" si="19"/>
        <v>135</v>
      </c>
      <c r="C161" s="634">
        <f t="shared" si="20"/>
        <v>48277.357016687281</v>
      </c>
      <c r="D161" s="631"/>
      <c r="E161" s="617">
        <f t="shared" si="21"/>
        <v>39357.434158535048</v>
      </c>
      <c r="F161" s="617"/>
      <c r="G161" s="630">
        <f t="shared" si="22"/>
        <v>8919.9228581522329</v>
      </c>
      <c r="H161" s="630"/>
      <c r="I161" s="617">
        <f t="shared" si="23"/>
        <v>5238737.9649465205</v>
      </c>
      <c r="J161" s="617"/>
      <c r="K161" s="630">
        <f t="shared" si="24"/>
        <v>2667131.401431696</v>
      </c>
      <c r="L161" s="630"/>
      <c r="M161" s="633" t="str">
        <f t="shared" si="25"/>
        <v>NO</v>
      </c>
      <c r="N161" s="633"/>
      <c r="O161" s="633"/>
    </row>
    <row r="162" spans="1:15" ht="20.149999999999999" customHeight="1" x14ac:dyDescent="0.35">
      <c r="A162" s="217" t="s">
        <v>360</v>
      </c>
      <c r="B162" s="19">
        <f t="shared" si="19"/>
        <v>136</v>
      </c>
      <c r="C162" s="634">
        <f t="shared" si="20"/>
        <v>48277.357016687281</v>
      </c>
      <c r="D162" s="631"/>
      <c r="E162" s="617">
        <f t="shared" si="21"/>
        <v>39290.534737098904</v>
      </c>
      <c r="F162" s="617"/>
      <c r="G162" s="630">
        <f t="shared" si="22"/>
        <v>8986.8222795883776</v>
      </c>
      <c r="H162" s="630"/>
      <c r="I162" s="617">
        <f t="shared" si="23"/>
        <v>5229751.1426669322</v>
      </c>
      <c r="J162" s="617"/>
      <c r="K162" s="630">
        <f t="shared" si="24"/>
        <v>2702254.158158564</v>
      </c>
      <c r="L162" s="630"/>
      <c r="M162" s="633" t="str">
        <f t="shared" si="25"/>
        <v>NO</v>
      </c>
      <c r="N162" s="633"/>
      <c r="O162" s="633"/>
    </row>
    <row r="163" spans="1:15" ht="20.149999999999999" customHeight="1" x14ac:dyDescent="0.35">
      <c r="A163" s="217" t="s">
        <v>361</v>
      </c>
      <c r="B163" s="19">
        <f t="shared" si="19"/>
        <v>137</v>
      </c>
      <c r="C163" s="634">
        <f t="shared" si="20"/>
        <v>48277.357016687281</v>
      </c>
      <c r="D163" s="631"/>
      <c r="E163" s="617">
        <f t="shared" si="21"/>
        <v>39223.133570001992</v>
      </c>
      <c r="F163" s="617"/>
      <c r="G163" s="630">
        <f t="shared" si="22"/>
        <v>9054.2234466852897</v>
      </c>
      <c r="H163" s="630"/>
      <c r="I163" s="617">
        <f t="shared" si="23"/>
        <v>5220696.9192202473</v>
      </c>
      <c r="J163" s="617"/>
      <c r="K163" s="630">
        <f t="shared" si="24"/>
        <v>2737710.1874513049</v>
      </c>
      <c r="L163" s="630"/>
      <c r="M163" s="633" t="str">
        <f t="shared" si="25"/>
        <v>NO</v>
      </c>
      <c r="N163" s="633"/>
      <c r="O163" s="633"/>
    </row>
    <row r="164" spans="1:15" ht="20.149999999999999" customHeight="1" x14ac:dyDescent="0.35">
      <c r="A164" s="217" t="s">
        <v>360</v>
      </c>
      <c r="B164" s="19">
        <f t="shared" si="19"/>
        <v>138</v>
      </c>
      <c r="C164" s="634">
        <f t="shared" si="20"/>
        <v>48277.357016687281</v>
      </c>
      <c r="D164" s="631"/>
      <c r="E164" s="617">
        <f t="shared" si="21"/>
        <v>39155.226894151849</v>
      </c>
      <c r="F164" s="617"/>
      <c r="G164" s="630">
        <f t="shared" si="22"/>
        <v>9122.1301225354327</v>
      </c>
      <c r="H164" s="630"/>
      <c r="I164" s="617">
        <f t="shared" si="23"/>
        <v>5211574.7890977114</v>
      </c>
      <c r="J164" s="617"/>
      <c r="K164" s="630">
        <f t="shared" si="24"/>
        <v>2773502.6516642869</v>
      </c>
      <c r="L164" s="630"/>
      <c r="M164" s="633" t="str">
        <f t="shared" si="25"/>
        <v>NO</v>
      </c>
      <c r="N164" s="633"/>
      <c r="O164" s="633"/>
    </row>
    <row r="165" spans="1:15" ht="20.149999999999999" customHeight="1" x14ac:dyDescent="0.35">
      <c r="A165" s="217" t="s">
        <v>361</v>
      </c>
      <c r="B165" s="19">
        <f t="shared" si="19"/>
        <v>139</v>
      </c>
      <c r="C165" s="634">
        <f t="shared" si="20"/>
        <v>48277.357016687281</v>
      </c>
      <c r="D165" s="631"/>
      <c r="E165" s="617">
        <f t="shared" si="21"/>
        <v>39086.810918232834</v>
      </c>
      <c r="F165" s="617"/>
      <c r="G165" s="630">
        <f t="shared" si="22"/>
        <v>9190.5460984544479</v>
      </c>
      <c r="H165" s="630"/>
      <c r="I165" s="617">
        <f t="shared" si="23"/>
        <v>5202384.2429992566</v>
      </c>
      <c r="J165" s="617"/>
      <c r="K165" s="630">
        <f t="shared" si="24"/>
        <v>2809634.7431588043</v>
      </c>
      <c r="L165" s="630"/>
      <c r="M165" s="633" t="str">
        <f t="shared" si="25"/>
        <v>NO</v>
      </c>
      <c r="N165" s="633"/>
      <c r="O165" s="633"/>
    </row>
    <row r="166" spans="1:15" ht="20.149999999999999" customHeight="1" x14ac:dyDescent="0.35">
      <c r="A166" s="217" t="s">
        <v>360</v>
      </c>
      <c r="B166" s="19">
        <f t="shared" si="19"/>
        <v>140</v>
      </c>
      <c r="C166" s="634">
        <f t="shared" si="20"/>
        <v>48277.357016687281</v>
      </c>
      <c r="D166" s="631"/>
      <c r="E166" s="617">
        <f t="shared" si="21"/>
        <v>39017.881822494419</v>
      </c>
      <c r="F166" s="617"/>
      <c r="G166" s="630">
        <f t="shared" si="22"/>
        <v>9259.4751941928625</v>
      </c>
      <c r="H166" s="630"/>
      <c r="I166" s="617">
        <f t="shared" si="23"/>
        <v>5193124.7678050641</v>
      </c>
      <c r="J166" s="617"/>
      <c r="K166" s="630">
        <f t="shared" si="24"/>
        <v>2846109.6845878065</v>
      </c>
      <c r="L166" s="630"/>
      <c r="M166" s="633" t="str">
        <f t="shared" si="25"/>
        <v>NO</v>
      </c>
      <c r="N166" s="633"/>
      <c r="O166" s="633"/>
    </row>
    <row r="167" spans="1:15" ht="20.149999999999999" customHeight="1" x14ac:dyDescent="0.35">
      <c r="A167" s="217" t="s">
        <v>361</v>
      </c>
      <c r="B167" s="19">
        <f t="shared" si="19"/>
        <v>141</v>
      </c>
      <c r="C167" s="634">
        <f t="shared" si="20"/>
        <v>48277.357016687281</v>
      </c>
      <c r="D167" s="631"/>
      <c r="E167" s="617">
        <f t="shared" si="21"/>
        <v>38948.435758537984</v>
      </c>
      <c r="F167" s="617"/>
      <c r="G167" s="630">
        <f t="shared" si="22"/>
        <v>9328.9212581492975</v>
      </c>
      <c r="H167" s="630"/>
      <c r="I167" s="617">
        <f t="shared" si="23"/>
        <v>5183795.8465469144</v>
      </c>
      <c r="J167" s="617"/>
      <c r="K167" s="630">
        <f t="shared" si="24"/>
        <v>2882930.7291833297</v>
      </c>
      <c r="L167" s="630"/>
      <c r="M167" s="633" t="str">
        <f t="shared" si="25"/>
        <v>NO</v>
      </c>
      <c r="N167" s="633"/>
      <c r="O167" s="633"/>
    </row>
    <row r="168" spans="1:15" ht="20.149999999999999" customHeight="1" x14ac:dyDescent="0.35">
      <c r="A168" s="217" t="s">
        <v>360</v>
      </c>
      <c r="B168" s="19">
        <f t="shared" si="19"/>
        <v>142</v>
      </c>
      <c r="C168" s="634">
        <f t="shared" si="20"/>
        <v>48277.357016687281</v>
      </c>
      <c r="D168" s="631"/>
      <c r="E168" s="617">
        <f t="shared" si="21"/>
        <v>38878.468849101853</v>
      </c>
      <c r="F168" s="617"/>
      <c r="G168" s="630">
        <f t="shared" si="22"/>
        <v>9398.8881675854282</v>
      </c>
      <c r="H168" s="630"/>
      <c r="I168" s="617">
        <f t="shared" si="23"/>
        <v>5174396.9583793292</v>
      </c>
      <c r="J168" s="617"/>
      <c r="K168" s="630">
        <f t="shared" si="24"/>
        <v>2920101.1610466549</v>
      </c>
      <c r="L168" s="630"/>
      <c r="M168" s="633" t="str">
        <f t="shared" si="25"/>
        <v>NO</v>
      </c>
      <c r="N168" s="633"/>
      <c r="O168" s="633"/>
    </row>
    <row r="169" spans="1:15" ht="20.149999999999999" customHeight="1" x14ac:dyDescent="0.35">
      <c r="A169" s="217" t="s">
        <v>361</v>
      </c>
      <c r="B169" s="19">
        <f t="shared" si="19"/>
        <v>143</v>
      </c>
      <c r="C169" s="634">
        <f t="shared" si="20"/>
        <v>48277.357016687281</v>
      </c>
      <c r="D169" s="631"/>
      <c r="E169" s="617">
        <f t="shared" si="21"/>
        <v>38807.977187844968</v>
      </c>
      <c r="F169" s="617"/>
      <c r="G169" s="630">
        <f t="shared" si="22"/>
        <v>9469.3798288423131</v>
      </c>
      <c r="H169" s="630"/>
      <c r="I169" s="617">
        <f t="shared" si="23"/>
        <v>5164927.5785504868</v>
      </c>
      <c r="J169" s="617"/>
      <c r="K169" s="630">
        <f t="shared" si="24"/>
        <v>2957624.2954412205</v>
      </c>
      <c r="L169" s="630"/>
      <c r="M169" s="633" t="str">
        <f t="shared" si="25"/>
        <v>NO</v>
      </c>
      <c r="N169" s="633"/>
      <c r="O169" s="633"/>
    </row>
    <row r="170" spans="1:15" ht="20.149999999999999" customHeight="1" x14ac:dyDescent="0.35">
      <c r="A170" s="217" t="s">
        <v>360</v>
      </c>
      <c r="B170" s="19">
        <f t="shared" si="19"/>
        <v>144</v>
      </c>
      <c r="C170" s="634">
        <f t="shared" si="20"/>
        <v>48277.357016687281</v>
      </c>
      <c r="D170" s="631"/>
      <c r="E170" s="617">
        <f t="shared" si="21"/>
        <v>38736.956839128652</v>
      </c>
      <c r="F170" s="617"/>
      <c r="G170" s="630">
        <f t="shared" si="22"/>
        <v>9540.4001775586294</v>
      </c>
      <c r="H170" s="630"/>
      <c r="I170" s="617">
        <f t="shared" si="23"/>
        <v>5155387.1783729279</v>
      </c>
      <c r="J170" s="617"/>
      <c r="K170" s="630">
        <f t="shared" si="24"/>
        <v>2995503.4790883125</v>
      </c>
      <c r="L170" s="630"/>
      <c r="M170" s="633" t="str">
        <f t="shared" si="25"/>
        <v>NO</v>
      </c>
      <c r="N170" s="633"/>
      <c r="O170" s="633"/>
    </row>
    <row r="171" spans="1:15" ht="20.149999999999999" customHeight="1" x14ac:dyDescent="0.35">
      <c r="A171" s="217" t="s">
        <v>361</v>
      </c>
      <c r="B171" s="19">
        <f t="shared" si="19"/>
        <v>145</v>
      </c>
      <c r="C171" s="634">
        <f t="shared" si="20"/>
        <v>48277.357016687281</v>
      </c>
      <c r="D171" s="631"/>
      <c r="E171" s="617">
        <f t="shared" si="21"/>
        <v>38665.403837796963</v>
      </c>
      <c r="F171" s="617"/>
      <c r="G171" s="630">
        <f t="shared" si="22"/>
        <v>9611.9531788903187</v>
      </c>
      <c r="H171" s="630"/>
      <c r="I171" s="617">
        <f t="shared" si="23"/>
        <v>5145775.2251940379</v>
      </c>
      <c r="J171" s="617"/>
      <c r="K171" s="630">
        <f t="shared" si="24"/>
        <v>3033742.0904655629</v>
      </c>
      <c r="L171" s="630"/>
      <c r="M171" s="633" t="str">
        <f t="shared" si="25"/>
        <v>NO</v>
      </c>
      <c r="N171" s="633"/>
      <c r="O171" s="633"/>
    </row>
    <row r="172" spans="1:15" ht="20.149999999999999" customHeight="1" x14ac:dyDescent="0.35">
      <c r="A172" s="217" t="s">
        <v>360</v>
      </c>
      <c r="B172" s="19">
        <f t="shared" si="19"/>
        <v>146</v>
      </c>
      <c r="C172" s="634">
        <f t="shared" si="20"/>
        <v>48277.357016687281</v>
      </c>
      <c r="D172" s="631"/>
      <c r="E172" s="617">
        <f t="shared" si="21"/>
        <v>38593.314188955286</v>
      </c>
      <c r="F172" s="617"/>
      <c r="G172" s="630">
        <f t="shared" si="22"/>
        <v>9684.0428277319952</v>
      </c>
      <c r="H172" s="630"/>
      <c r="I172" s="617">
        <f t="shared" si="23"/>
        <v>5136091.182366306</v>
      </c>
      <c r="J172" s="617"/>
      <c r="K172" s="630">
        <f t="shared" si="24"/>
        <v>3072343.5401082779</v>
      </c>
      <c r="L172" s="630"/>
      <c r="M172" s="633" t="str">
        <f t="shared" si="25"/>
        <v>NO</v>
      </c>
      <c r="N172" s="633"/>
      <c r="O172" s="633"/>
    </row>
    <row r="173" spans="1:15" ht="20.149999999999999" customHeight="1" x14ac:dyDescent="0.35">
      <c r="A173" s="217" t="s">
        <v>361</v>
      </c>
      <c r="B173" s="19">
        <f t="shared" si="19"/>
        <v>147</v>
      </c>
      <c r="C173" s="634">
        <f t="shared" si="20"/>
        <v>48277.357016687281</v>
      </c>
      <c r="D173" s="631"/>
      <c r="E173" s="617">
        <f t="shared" si="21"/>
        <v>38520.683867747292</v>
      </c>
      <c r="F173" s="617"/>
      <c r="G173" s="630">
        <f t="shared" si="22"/>
        <v>9756.6731489399899</v>
      </c>
      <c r="H173" s="630"/>
      <c r="I173" s="617">
        <f t="shared" si="23"/>
        <v>5126334.5092173656</v>
      </c>
      <c r="J173" s="617"/>
      <c r="K173" s="630">
        <f t="shared" si="24"/>
        <v>3111311.2709136275</v>
      </c>
      <c r="L173" s="630"/>
      <c r="M173" s="633" t="str">
        <f t="shared" si="25"/>
        <v>NO</v>
      </c>
      <c r="N173" s="633"/>
      <c r="O173" s="633"/>
    </row>
    <row r="174" spans="1:15" ht="20.149999999999999" customHeight="1" x14ac:dyDescent="0.35">
      <c r="A174" s="217" t="s">
        <v>360</v>
      </c>
      <c r="B174" s="19">
        <f t="shared" si="19"/>
        <v>148</v>
      </c>
      <c r="C174" s="634">
        <f t="shared" si="20"/>
        <v>48277.357016687281</v>
      </c>
      <c r="D174" s="631"/>
      <c r="E174" s="617">
        <f t="shared" si="21"/>
        <v>38447.508819130242</v>
      </c>
      <c r="F174" s="617"/>
      <c r="G174" s="630">
        <f t="shared" si="22"/>
        <v>9829.8481975570394</v>
      </c>
      <c r="H174" s="630"/>
      <c r="I174" s="617">
        <f t="shared" si="23"/>
        <v>5116504.6610198086</v>
      </c>
      <c r="J174" s="617"/>
      <c r="K174" s="630">
        <f t="shared" si="24"/>
        <v>3150648.7584477193</v>
      </c>
      <c r="L174" s="630"/>
      <c r="M174" s="633" t="str">
        <f t="shared" si="25"/>
        <v>NO</v>
      </c>
      <c r="N174" s="633"/>
      <c r="O174" s="633"/>
    </row>
    <row r="175" spans="1:15" ht="20.149999999999999" customHeight="1" x14ac:dyDescent="0.35">
      <c r="A175" s="217" t="s">
        <v>361</v>
      </c>
      <c r="B175" s="19">
        <f t="shared" si="19"/>
        <v>149</v>
      </c>
      <c r="C175" s="634">
        <f t="shared" si="20"/>
        <v>48277.357016687281</v>
      </c>
      <c r="D175" s="631"/>
      <c r="E175" s="617">
        <f t="shared" si="21"/>
        <v>38373.784957648568</v>
      </c>
      <c r="F175" s="617"/>
      <c r="G175" s="630">
        <f t="shared" si="22"/>
        <v>9903.5720590387136</v>
      </c>
      <c r="H175" s="630"/>
      <c r="I175" s="617">
        <f t="shared" si="23"/>
        <v>5106601.0889607696</v>
      </c>
      <c r="J175" s="617"/>
      <c r="K175" s="630">
        <f t="shared" si="24"/>
        <v>3190359.5112555888</v>
      </c>
      <c r="L175" s="630"/>
      <c r="M175" s="633" t="str">
        <f t="shared" si="25"/>
        <v>NO</v>
      </c>
      <c r="N175" s="633"/>
      <c r="O175" s="633"/>
    </row>
    <row r="176" spans="1:15" ht="20.149999999999999" customHeight="1" x14ac:dyDescent="0.35">
      <c r="A176" s="217" t="s">
        <v>360</v>
      </c>
      <c r="B176" s="19">
        <f t="shared" si="19"/>
        <v>150</v>
      </c>
      <c r="C176" s="634">
        <f t="shared" si="20"/>
        <v>48277.357016687281</v>
      </c>
      <c r="D176" s="631"/>
      <c r="E176" s="617">
        <f t="shared" si="21"/>
        <v>38299.508167205771</v>
      </c>
      <c r="F176" s="617"/>
      <c r="G176" s="630">
        <f t="shared" si="22"/>
        <v>9977.8488494815101</v>
      </c>
      <c r="H176" s="630"/>
      <c r="I176" s="617">
        <f t="shared" si="23"/>
        <v>5096623.2401112877</v>
      </c>
      <c r="J176" s="617"/>
      <c r="K176" s="630">
        <f t="shared" si="24"/>
        <v>3230447.0711741289</v>
      </c>
      <c r="L176" s="630"/>
      <c r="M176" s="633" t="str">
        <f t="shared" si="25"/>
        <v>NO</v>
      </c>
      <c r="N176" s="633"/>
      <c r="O176" s="633"/>
    </row>
    <row r="177" spans="1:15" ht="20.149999999999999" customHeight="1" x14ac:dyDescent="0.35">
      <c r="A177" s="217" t="s">
        <v>361</v>
      </c>
      <c r="B177" s="19">
        <f t="shared" si="19"/>
        <v>151</v>
      </c>
      <c r="C177" s="634">
        <f t="shared" si="20"/>
        <v>48277.357016687281</v>
      </c>
      <c r="D177" s="631"/>
      <c r="E177" s="617">
        <f t="shared" si="21"/>
        <v>38224.67430083466</v>
      </c>
      <c r="F177" s="617"/>
      <c r="G177" s="630">
        <f t="shared" si="22"/>
        <v>10052.682715852621</v>
      </c>
      <c r="H177" s="630"/>
      <c r="I177" s="617">
        <f t="shared" si="23"/>
        <v>5086570.5573954349</v>
      </c>
      <c r="J177" s="617"/>
      <c r="K177" s="630">
        <f t="shared" si="24"/>
        <v>3270915.0136479884</v>
      </c>
      <c r="L177" s="630"/>
      <c r="M177" s="633" t="str">
        <f t="shared" si="25"/>
        <v>NO</v>
      </c>
      <c r="N177" s="633"/>
      <c r="O177" s="633"/>
    </row>
    <row r="178" spans="1:15" ht="20.149999999999999" customHeight="1" x14ac:dyDescent="0.35">
      <c r="A178" s="217" t="s">
        <v>360</v>
      </c>
      <c r="B178" s="19">
        <f t="shared" si="19"/>
        <v>152</v>
      </c>
      <c r="C178" s="634">
        <f t="shared" si="20"/>
        <v>48277.357016687281</v>
      </c>
      <c r="D178" s="631"/>
      <c r="E178" s="617">
        <f t="shared" si="21"/>
        <v>38149.279180465761</v>
      </c>
      <c r="F178" s="617"/>
      <c r="G178" s="630">
        <f t="shared" si="22"/>
        <v>10128.077836221521</v>
      </c>
      <c r="H178" s="630"/>
      <c r="I178" s="617">
        <f t="shared" si="23"/>
        <v>5076442.4795592139</v>
      </c>
      <c r="J178" s="617"/>
      <c r="K178" s="630">
        <f t="shared" si="24"/>
        <v>3311766.948048471</v>
      </c>
      <c r="L178" s="630"/>
      <c r="M178" s="633" t="str">
        <f t="shared" si="25"/>
        <v>NO</v>
      </c>
      <c r="N178" s="633"/>
      <c r="O178" s="633"/>
    </row>
    <row r="179" spans="1:15" ht="20.149999999999999" customHeight="1" x14ac:dyDescent="0.35">
      <c r="A179" s="217" t="s">
        <v>361</v>
      </c>
      <c r="B179" s="19">
        <f t="shared" si="19"/>
        <v>153</v>
      </c>
      <c r="C179" s="634">
        <f t="shared" si="20"/>
        <v>48277.357016687281</v>
      </c>
      <c r="D179" s="631"/>
      <c r="E179" s="617">
        <f t="shared" si="21"/>
        <v>38073.318596694102</v>
      </c>
      <c r="F179" s="617"/>
      <c r="G179" s="630">
        <f t="shared" si="22"/>
        <v>10204.03841999318</v>
      </c>
      <c r="H179" s="630"/>
      <c r="I179" s="617">
        <f t="shared" si="23"/>
        <v>5066238.4411392203</v>
      </c>
      <c r="J179" s="617"/>
      <c r="K179" s="630">
        <f t="shared" si="24"/>
        <v>3353006.5179954572</v>
      </c>
      <c r="L179" s="630"/>
      <c r="M179" s="633" t="str">
        <f t="shared" si="25"/>
        <v>NO</v>
      </c>
      <c r="N179" s="633"/>
      <c r="O179" s="633"/>
    </row>
    <row r="180" spans="1:15" ht="20.149999999999999" customHeight="1" x14ac:dyDescent="0.35">
      <c r="A180" s="217" t="s">
        <v>360</v>
      </c>
      <c r="B180" s="19">
        <f t="shared" si="19"/>
        <v>154</v>
      </c>
      <c r="C180" s="634">
        <f t="shared" si="20"/>
        <v>48277.357016687281</v>
      </c>
      <c r="D180" s="631"/>
      <c r="E180" s="617">
        <f t="shared" si="21"/>
        <v>37996.78830854415</v>
      </c>
      <c r="F180" s="617"/>
      <c r="G180" s="630">
        <f t="shared" si="22"/>
        <v>10280.568708143132</v>
      </c>
      <c r="H180" s="630"/>
      <c r="I180" s="617">
        <f t="shared" si="23"/>
        <v>5055957.8724310771</v>
      </c>
      <c r="J180" s="617"/>
      <c r="K180" s="630">
        <f t="shared" si="24"/>
        <v>3394637.4016823815</v>
      </c>
      <c r="L180" s="630"/>
      <c r="M180" s="633" t="str">
        <f t="shared" si="25"/>
        <v>NO</v>
      </c>
      <c r="N180" s="633"/>
      <c r="O180" s="633"/>
    </row>
    <row r="181" spans="1:15" ht="20.149999999999999" customHeight="1" x14ac:dyDescent="0.35">
      <c r="A181" s="217" t="s">
        <v>361</v>
      </c>
      <c r="B181" s="19">
        <f t="shared" si="19"/>
        <v>155</v>
      </c>
      <c r="C181" s="634">
        <f t="shared" si="20"/>
        <v>48277.357016687281</v>
      </c>
      <c r="D181" s="631"/>
      <c r="E181" s="617">
        <f t="shared" si="21"/>
        <v>37919.684043233072</v>
      </c>
      <c r="F181" s="617"/>
      <c r="G181" s="630">
        <f t="shared" si="22"/>
        <v>10357.67297345421</v>
      </c>
      <c r="H181" s="630"/>
      <c r="I181" s="617">
        <f t="shared" si="23"/>
        <v>5045600.1994576231</v>
      </c>
      <c r="J181" s="617"/>
      <c r="K181" s="630">
        <f t="shared" si="24"/>
        <v>3436663.3122042948</v>
      </c>
      <c r="L181" s="630"/>
      <c r="M181" s="633" t="str">
        <f t="shared" si="25"/>
        <v>NO</v>
      </c>
      <c r="N181" s="633"/>
      <c r="O181" s="633"/>
    </row>
    <row r="182" spans="1:15" ht="20.149999999999999" customHeight="1" x14ac:dyDescent="0.35">
      <c r="A182" s="217" t="s">
        <v>360</v>
      </c>
      <c r="B182" s="19">
        <f t="shared" si="19"/>
        <v>156</v>
      </c>
      <c r="C182" s="634">
        <f t="shared" si="20"/>
        <v>48277.357016687281</v>
      </c>
      <c r="D182" s="631"/>
      <c r="E182" s="617">
        <f t="shared" si="21"/>
        <v>37842.001495932171</v>
      </c>
      <c r="F182" s="617"/>
      <c r="G182" s="630">
        <f t="shared" si="22"/>
        <v>10435.355520755111</v>
      </c>
      <c r="H182" s="630"/>
      <c r="I182" s="617">
        <f t="shared" si="23"/>
        <v>5035164.843936868</v>
      </c>
      <c r="J182" s="617"/>
      <c r="K182" s="630">
        <f t="shared" si="24"/>
        <v>3479087.9978890377</v>
      </c>
      <c r="L182" s="630"/>
      <c r="M182" s="633" t="str">
        <f t="shared" si="25"/>
        <v>NO</v>
      </c>
      <c r="N182" s="633"/>
      <c r="O182" s="633"/>
    </row>
    <row r="183" spans="1:15" ht="20.149999999999999" customHeight="1" x14ac:dyDescent="0.35">
      <c r="A183" s="217" t="s">
        <v>361</v>
      </c>
      <c r="B183" s="19">
        <f t="shared" si="19"/>
        <v>157</v>
      </c>
      <c r="C183" s="634">
        <f t="shared" si="20"/>
        <v>48277.357016687281</v>
      </c>
      <c r="D183" s="631"/>
      <c r="E183" s="617">
        <f t="shared" si="21"/>
        <v>37763.73632952651</v>
      </c>
      <c r="F183" s="617"/>
      <c r="G183" s="630">
        <f t="shared" si="22"/>
        <v>10513.620687160772</v>
      </c>
      <c r="H183" s="630"/>
      <c r="I183" s="617">
        <f t="shared" si="23"/>
        <v>5024651.2232497074</v>
      </c>
      <c r="J183" s="617"/>
      <c r="K183" s="630">
        <f t="shared" si="24"/>
        <v>3521915.2426315579</v>
      </c>
      <c r="L183" s="630"/>
      <c r="M183" s="633" t="str">
        <f t="shared" si="25"/>
        <v>NO</v>
      </c>
      <c r="N183" s="633"/>
      <c r="O183" s="633"/>
    </row>
    <row r="184" spans="1:15" ht="20.149999999999999" customHeight="1" x14ac:dyDescent="0.35">
      <c r="A184" s="217" t="s">
        <v>360</v>
      </c>
      <c r="B184" s="19">
        <f t="shared" si="19"/>
        <v>158</v>
      </c>
      <c r="C184" s="634">
        <f t="shared" si="20"/>
        <v>48277.357016687281</v>
      </c>
      <c r="D184" s="631"/>
      <c r="E184" s="617">
        <f t="shared" si="21"/>
        <v>37684.884174372804</v>
      </c>
      <c r="F184" s="617"/>
      <c r="G184" s="630">
        <f t="shared" si="22"/>
        <v>10592.472842314477</v>
      </c>
      <c r="H184" s="630"/>
      <c r="I184" s="617">
        <f t="shared" si="23"/>
        <v>5014058.7504073931</v>
      </c>
      <c r="J184" s="617"/>
      <c r="K184" s="630">
        <f t="shared" si="24"/>
        <v>3565148.8662313987</v>
      </c>
      <c r="L184" s="630"/>
      <c r="M184" s="633" t="str">
        <f t="shared" si="25"/>
        <v>NO</v>
      </c>
      <c r="N184" s="633"/>
      <c r="O184" s="633"/>
    </row>
    <row r="185" spans="1:15" ht="20.149999999999999" customHeight="1" x14ac:dyDescent="0.35">
      <c r="A185" s="217" t="s">
        <v>361</v>
      </c>
      <c r="B185" s="19">
        <f t="shared" si="19"/>
        <v>159</v>
      </c>
      <c r="C185" s="634">
        <f t="shared" si="20"/>
        <v>48277.357016687281</v>
      </c>
      <c r="D185" s="631"/>
      <c r="E185" s="617">
        <f t="shared" si="21"/>
        <v>37605.440628055447</v>
      </c>
      <c r="F185" s="617"/>
      <c r="G185" s="630">
        <f t="shared" si="22"/>
        <v>10671.916388631835</v>
      </c>
      <c r="H185" s="630"/>
      <c r="I185" s="617">
        <f t="shared" si="23"/>
        <v>5003386.8340187613</v>
      </c>
      <c r="J185" s="617"/>
      <c r="K185" s="630">
        <f t="shared" si="24"/>
        <v>3608792.7247333899</v>
      </c>
      <c r="L185" s="630"/>
      <c r="M185" s="633" t="str">
        <f t="shared" si="25"/>
        <v>NO</v>
      </c>
      <c r="N185" s="633"/>
      <c r="O185" s="633"/>
    </row>
    <row r="186" spans="1:15" ht="20.149999999999999" customHeight="1" x14ac:dyDescent="0.35">
      <c r="A186" s="217" t="s">
        <v>360</v>
      </c>
      <c r="B186" s="19">
        <f t="shared" si="19"/>
        <v>160</v>
      </c>
      <c r="C186" s="634">
        <f t="shared" si="20"/>
        <v>48277.357016687281</v>
      </c>
      <c r="D186" s="631"/>
      <c r="E186" s="617">
        <f t="shared" si="21"/>
        <v>37525.401255140707</v>
      </c>
      <c r="F186" s="617"/>
      <c r="G186" s="630">
        <f t="shared" si="22"/>
        <v>10751.955761546575</v>
      </c>
      <c r="H186" s="630"/>
      <c r="I186" s="617">
        <f t="shared" si="23"/>
        <v>4992634.878257215</v>
      </c>
      <c r="J186" s="617"/>
      <c r="K186" s="630">
        <f t="shared" si="24"/>
        <v>3652850.7107715728</v>
      </c>
      <c r="L186" s="630"/>
      <c r="M186" s="633" t="str">
        <f t="shared" si="25"/>
        <v>NO</v>
      </c>
      <c r="N186" s="633"/>
      <c r="O186" s="633"/>
    </row>
    <row r="187" spans="1:15" ht="20.149999999999999" customHeight="1" x14ac:dyDescent="0.35">
      <c r="A187" s="217" t="s">
        <v>361</v>
      </c>
      <c r="B187" s="19">
        <f t="shared" si="19"/>
        <v>161</v>
      </c>
      <c r="C187" s="634">
        <f t="shared" si="20"/>
        <v>48277.357016687281</v>
      </c>
      <c r="D187" s="631"/>
      <c r="E187" s="617">
        <f t="shared" si="21"/>
        <v>37444.761586929111</v>
      </c>
      <c r="F187" s="617"/>
      <c r="G187" s="630">
        <f t="shared" si="22"/>
        <v>10832.59542975817</v>
      </c>
      <c r="H187" s="630"/>
      <c r="I187" s="617">
        <f t="shared" si="23"/>
        <v>4981802.2828274565</v>
      </c>
      <c r="J187" s="617"/>
      <c r="K187" s="630">
        <f t="shared" si="24"/>
        <v>3697326.753916387</v>
      </c>
      <c r="L187" s="630"/>
      <c r="M187" s="633" t="str">
        <f t="shared" si="25"/>
        <v>NO</v>
      </c>
      <c r="N187" s="633"/>
      <c r="O187" s="633"/>
    </row>
    <row r="188" spans="1:15" ht="20.149999999999999" customHeight="1" x14ac:dyDescent="0.35">
      <c r="A188" s="217" t="s">
        <v>360</v>
      </c>
      <c r="B188" s="19">
        <f t="shared" si="19"/>
        <v>162</v>
      </c>
      <c r="C188" s="634">
        <f t="shared" si="20"/>
        <v>48277.357016687281</v>
      </c>
      <c r="D188" s="631"/>
      <c r="E188" s="617">
        <f t="shared" si="21"/>
        <v>37363.517121205921</v>
      </c>
      <c r="F188" s="617"/>
      <c r="G188" s="630">
        <f t="shared" si="22"/>
        <v>10913.83989548136</v>
      </c>
      <c r="H188" s="630"/>
      <c r="I188" s="617">
        <f t="shared" si="23"/>
        <v>4970888.4429319752</v>
      </c>
      <c r="J188" s="617"/>
      <c r="K188" s="630">
        <f t="shared" si="24"/>
        <v>3742224.8210251518</v>
      </c>
      <c r="L188" s="630"/>
      <c r="M188" s="633" t="str">
        <f t="shared" si="25"/>
        <v>NO</v>
      </c>
      <c r="N188" s="633"/>
      <c r="O188" s="633"/>
    </row>
    <row r="189" spans="1:15" ht="20.149999999999999" customHeight="1" x14ac:dyDescent="0.35">
      <c r="A189" s="217" t="s">
        <v>361</v>
      </c>
      <c r="B189" s="19">
        <f t="shared" si="19"/>
        <v>163</v>
      </c>
      <c r="C189" s="634">
        <f t="shared" si="20"/>
        <v>48277.357016687281</v>
      </c>
      <c r="D189" s="631"/>
      <c r="E189" s="617">
        <f t="shared" si="21"/>
        <v>37281.663321989814</v>
      </c>
      <c r="F189" s="617"/>
      <c r="G189" s="630">
        <f t="shared" si="22"/>
        <v>10995.693694697467</v>
      </c>
      <c r="H189" s="630"/>
      <c r="I189" s="617">
        <f t="shared" si="23"/>
        <v>4959892.7492372775</v>
      </c>
      <c r="J189" s="617"/>
      <c r="K189" s="630">
        <f t="shared" si="24"/>
        <v>3787548.9165958748</v>
      </c>
      <c r="L189" s="630"/>
      <c r="M189" s="633" t="str">
        <f t="shared" si="25"/>
        <v>NO</v>
      </c>
      <c r="N189" s="633"/>
      <c r="O189" s="633"/>
    </row>
    <row r="190" spans="1:15" ht="20.149999999999999" customHeight="1" x14ac:dyDescent="0.35">
      <c r="A190" s="217" t="s">
        <v>360</v>
      </c>
      <c r="B190" s="19">
        <f t="shared" si="19"/>
        <v>164</v>
      </c>
      <c r="C190" s="634">
        <f t="shared" si="20"/>
        <v>48277.357016687281</v>
      </c>
      <c r="D190" s="631"/>
      <c r="E190" s="617">
        <f t="shared" si="21"/>
        <v>37199.195619279584</v>
      </c>
      <c r="F190" s="617"/>
      <c r="G190" s="630">
        <f t="shared" si="22"/>
        <v>11078.161397407697</v>
      </c>
      <c r="H190" s="630"/>
      <c r="I190" s="617">
        <f t="shared" si="23"/>
        <v>4948814.5878398698</v>
      </c>
      <c r="J190" s="617"/>
      <c r="K190" s="630">
        <f t="shared" si="24"/>
        <v>3833303.0831244155</v>
      </c>
      <c r="L190" s="630"/>
      <c r="M190" s="633" t="str">
        <f t="shared" si="25"/>
        <v>NO</v>
      </c>
      <c r="N190" s="633"/>
      <c r="O190" s="633"/>
    </row>
    <row r="191" spans="1:15" ht="20.149999999999999" customHeight="1" x14ac:dyDescent="0.35">
      <c r="A191" s="217" t="s">
        <v>361</v>
      </c>
      <c r="B191" s="19">
        <f t="shared" si="19"/>
        <v>165</v>
      </c>
      <c r="C191" s="634">
        <f t="shared" si="20"/>
        <v>48277.357016687281</v>
      </c>
      <c r="D191" s="631"/>
      <c r="E191" s="617">
        <f t="shared" si="21"/>
        <v>37116.10940879902</v>
      </c>
      <c r="F191" s="617"/>
      <c r="G191" s="630">
        <f t="shared" si="22"/>
        <v>11161.247607888261</v>
      </c>
      <c r="H191" s="630"/>
      <c r="I191" s="617">
        <f t="shared" si="23"/>
        <v>4937653.3402319811</v>
      </c>
      <c r="J191" s="617"/>
      <c r="K191" s="630">
        <f t="shared" si="24"/>
        <v>3879491.4014650402</v>
      </c>
      <c r="L191" s="630"/>
      <c r="M191" s="633" t="str">
        <f t="shared" si="25"/>
        <v>NO</v>
      </c>
      <c r="N191" s="633"/>
      <c r="O191" s="633"/>
    </row>
    <row r="192" spans="1:15" ht="20.149999999999999" customHeight="1" x14ac:dyDescent="0.35">
      <c r="A192" s="217" t="s">
        <v>360</v>
      </c>
      <c r="B192" s="19">
        <f t="shared" si="19"/>
        <v>166</v>
      </c>
      <c r="C192" s="634">
        <f t="shared" si="20"/>
        <v>48277.357016687281</v>
      </c>
      <c r="D192" s="631"/>
      <c r="E192" s="617">
        <f t="shared" si="21"/>
        <v>37032.40005173986</v>
      </c>
      <c r="F192" s="617"/>
      <c r="G192" s="630">
        <f t="shared" si="22"/>
        <v>11244.956964947422</v>
      </c>
      <c r="H192" s="630"/>
      <c r="I192" s="617">
        <f t="shared" si="23"/>
        <v>4926408.3832670338</v>
      </c>
      <c r="J192" s="617"/>
      <c r="K192" s="630">
        <f t="shared" si="24"/>
        <v>3926117.9911943953</v>
      </c>
      <c r="L192" s="630"/>
      <c r="M192" s="633" t="str">
        <f t="shared" si="25"/>
        <v>NO</v>
      </c>
      <c r="N192" s="633"/>
      <c r="O192" s="633"/>
    </row>
    <row r="193" spans="1:15" ht="20.149999999999999" customHeight="1" x14ac:dyDescent="0.35">
      <c r="A193" s="217" t="s">
        <v>361</v>
      </c>
      <c r="B193" s="19">
        <f t="shared" si="19"/>
        <v>167</v>
      </c>
      <c r="C193" s="634">
        <f t="shared" si="20"/>
        <v>48277.357016687281</v>
      </c>
      <c r="D193" s="631"/>
      <c r="E193" s="617">
        <f t="shared" si="21"/>
        <v>36948.062874502757</v>
      </c>
      <c r="F193" s="617"/>
      <c r="G193" s="630">
        <f t="shared" si="22"/>
        <v>11329.294142184524</v>
      </c>
      <c r="H193" s="630"/>
      <c r="I193" s="617">
        <f t="shared" si="23"/>
        <v>4915079.0891248491</v>
      </c>
      <c r="J193" s="617"/>
      <c r="K193" s="630">
        <f t="shared" si="24"/>
        <v>3973187.0109789381</v>
      </c>
      <c r="L193" s="630"/>
      <c r="M193" s="633" t="str">
        <f t="shared" si="25"/>
        <v>NO</v>
      </c>
      <c r="N193" s="633"/>
      <c r="O193" s="633"/>
    </row>
    <row r="194" spans="1:15" ht="20.149999999999999" customHeight="1" x14ac:dyDescent="0.35">
      <c r="A194" s="217" t="s">
        <v>360</v>
      </c>
      <c r="B194" s="19">
        <f t="shared" si="19"/>
        <v>168</v>
      </c>
      <c r="C194" s="634">
        <f t="shared" si="20"/>
        <v>48277.357016687281</v>
      </c>
      <c r="D194" s="631"/>
      <c r="E194" s="617">
        <f t="shared" si="21"/>
        <v>36863.093168436368</v>
      </c>
      <c r="F194" s="617"/>
      <c r="G194" s="630">
        <f t="shared" si="22"/>
        <v>11414.263848250914</v>
      </c>
      <c r="H194" s="630"/>
      <c r="I194" s="617">
        <f t="shared" si="23"/>
        <v>4903664.8252765983</v>
      </c>
      <c r="J194" s="617"/>
      <c r="K194" s="630">
        <f t="shared" si="24"/>
        <v>4020702.6589458501</v>
      </c>
      <c r="L194" s="630"/>
      <c r="M194" s="633" t="str">
        <f t="shared" si="25"/>
        <v>NO</v>
      </c>
      <c r="N194" s="633"/>
      <c r="O194" s="633"/>
    </row>
    <row r="195" spans="1:15" ht="20.149999999999999" customHeight="1" x14ac:dyDescent="0.35">
      <c r="A195" s="217" t="s">
        <v>361</v>
      </c>
      <c r="B195" s="19">
        <f t="shared" si="19"/>
        <v>169</v>
      </c>
      <c r="C195" s="634">
        <f t="shared" si="20"/>
        <v>48277.357016687281</v>
      </c>
      <c r="D195" s="631"/>
      <c r="E195" s="617">
        <f t="shared" si="21"/>
        <v>36777.486189574491</v>
      </c>
      <c r="F195" s="617"/>
      <c r="G195" s="630">
        <f t="shared" si="22"/>
        <v>11499.870827112791</v>
      </c>
      <c r="H195" s="630"/>
      <c r="I195" s="617">
        <f t="shared" si="23"/>
        <v>4892164.954449486</v>
      </c>
      <c r="J195" s="617"/>
      <c r="K195" s="630">
        <f t="shared" si="24"/>
        <v>4068669.1730574728</v>
      </c>
      <c r="L195" s="630"/>
      <c r="M195" s="633" t="str">
        <f t="shared" si="25"/>
        <v>NO</v>
      </c>
      <c r="N195" s="633"/>
      <c r="O195" s="633"/>
    </row>
    <row r="196" spans="1:15" ht="20.149999999999999" customHeight="1" x14ac:dyDescent="0.35">
      <c r="A196" s="217" t="s">
        <v>360</v>
      </c>
      <c r="B196" s="19">
        <f t="shared" si="19"/>
        <v>170</v>
      </c>
      <c r="C196" s="634">
        <f t="shared" si="20"/>
        <v>48277.357016687281</v>
      </c>
      <c r="D196" s="631"/>
      <c r="E196" s="617">
        <f t="shared" si="21"/>
        <v>36691.237158371143</v>
      </c>
      <c r="F196" s="617"/>
      <c r="G196" s="630">
        <f t="shared" si="22"/>
        <v>11586.119858316139</v>
      </c>
      <c r="H196" s="630"/>
      <c r="I196" s="617">
        <f t="shared" si="23"/>
        <v>4880578.8345911698</v>
      </c>
      <c r="J196" s="617"/>
      <c r="K196" s="630">
        <f t="shared" si="24"/>
        <v>4117090.8314892943</v>
      </c>
      <c r="L196" s="630"/>
      <c r="M196" s="633" t="str">
        <f t="shared" si="25"/>
        <v>NO</v>
      </c>
      <c r="N196" s="633"/>
      <c r="O196" s="633"/>
    </row>
    <row r="197" spans="1:15" ht="20.149999999999999" customHeight="1" x14ac:dyDescent="0.35">
      <c r="A197" s="217" t="s">
        <v>361</v>
      </c>
      <c r="B197" s="19">
        <f t="shared" si="19"/>
        <v>171</v>
      </c>
      <c r="C197" s="634">
        <f t="shared" si="20"/>
        <v>48277.357016687281</v>
      </c>
      <c r="D197" s="631"/>
      <c r="E197" s="617">
        <f t="shared" si="21"/>
        <v>36604.341259433771</v>
      </c>
      <c r="F197" s="617"/>
      <c r="G197" s="630">
        <f t="shared" si="22"/>
        <v>11673.01575725351</v>
      </c>
      <c r="H197" s="630"/>
      <c r="I197" s="617">
        <f t="shared" si="23"/>
        <v>4868905.8188339164</v>
      </c>
      <c r="J197" s="617"/>
      <c r="K197" s="630">
        <f t="shared" si="24"/>
        <v>4165971.9530115249</v>
      </c>
      <c r="L197" s="630"/>
      <c r="M197" s="633" t="str">
        <f t="shared" si="25"/>
        <v>NO</v>
      </c>
      <c r="N197" s="633"/>
      <c r="O197" s="633"/>
    </row>
    <row r="198" spans="1:15" ht="20.149999999999999" customHeight="1" x14ac:dyDescent="0.35">
      <c r="A198" s="217" t="s">
        <v>360</v>
      </c>
      <c r="B198" s="19">
        <f t="shared" si="19"/>
        <v>172</v>
      </c>
      <c r="C198" s="634">
        <f t="shared" si="20"/>
        <v>48277.357016687281</v>
      </c>
      <c r="D198" s="631"/>
      <c r="E198" s="617">
        <f t="shared" si="21"/>
        <v>36516.793641254371</v>
      </c>
      <c r="F198" s="617"/>
      <c r="G198" s="630">
        <f t="shared" si="22"/>
        <v>11760.56337543291</v>
      </c>
      <c r="H198" s="630"/>
      <c r="I198" s="617">
        <f t="shared" si="23"/>
        <v>4857145.2554584835</v>
      </c>
      <c r="J198" s="617"/>
      <c r="K198" s="630">
        <f t="shared" si="24"/>
        <v>4215316.89737429</v>
      </c>
      <c r="L198" s="630"/>
      <c r="M198" s="633" t="str">
        <f t="shared" si="25"/>
        <v>NO</v>
      </c>
      <c r="N198" s="633"/>
      <c r="O198" s="633"/>
    </row>
    <row r="199" spans="1:15" ht="20.149999999999999" customHeight="1" x14ac:dyDescent="0.35">
      <c r="A199" s="217" t="s">
        <v>361</v>
      </c>
      <c r="B199" s="19">
        <f t="shared" si="19"/>
        <v>173</v>
      </c>
      <c r="C199" s="634">
        <f t="shared" si="20"/>
        <v>48277.357016687281</v>
      </c>
      <c r="D199" s="631"/>
      <c r="E199" s="617">
        <f t="shared" si="21"/>
        <v>36428.589415938623</v>
      </c>
      <c r="F199" s="617"/>
      <c r="G199" s="630">
        <f t="shared" si="22"/>
        <v>11848.767600748659</v>
      </c>
      <c r="H199" s="630"/>
      <c r="I199" s="617">
        <f t="shared" si="23"/>
        <v>4845296.4878577348</v>
      </c>
      <c r="J199" s="617"/>
      <c r="K199" s="630">
        <f t="shared" si="24"/>
        <v>4265130.0656964816</v>
      </c>
      <c r="L199" s="630"/>
      <c r="M199" s="633" t="str">
        <f t="shared" si="25"/>
        <v>NO</v>
      </c>
      <c r="N199" s="633"/>
      <c r="O199" s="633"/>
    </row>
    <row r="200" spans="1:15" ht="20.149999999999999" customHeight="1" x14ac:dyDescent="0.35">
      <c r="A200" s="217" t="s">
        <v>360</v>
      </c>
      <c r="B200" s="19">
        <f t="shared" si="19"/>
        <v>174</v>
      </c>
      <c r="C200" s="634">
        <f t="shared" si="20"/>
        <v>48277.357016687281</v>
      </c>
      <c r="D200" s="631"/>
      <c r="E200" s="617">
        <f t="shared" si="21"/>
        <v>36339.723658933006</v>
      </c>
      <c r="F200" s="617"/>
      <c r="G200" s="630">
        <f t="shared" si="22"/>
        <v>11937.633357754275</v>
      </c>
      <c r="H200" s="630"/>
      <c r="I200" s="617">
        <f t="shared" si="23"/>
        <v>4833358.8544999808</v>
      </c>
      <c r="J200" s="617"/>
      <c r="K200" s="630">
        <f t="shared" si="24"/>
        <v>4315415.9008582979</v>
      </c>
      <c r="L200" s="630"/>
      <c r="M200" s="633" t="str">
        <f t="shared" si="25"/>
        <v>NO</v>
      </c>
      <c r="N200" s="633"/>
      <c r="O200" s="633"/>
    </row>
    <row r="201" spans="1:15" ht="20.149999999999999" customHeight="1" x14ac:dyDescent="0.35">
      <c r="A201" s="217" t="s">
        <v>361</v>
      </c>
      <c r="B201" s="19">
        <f t="shared" si="19"/>
        <v>175</v>
      </c>
      <c r="C201" s="634">
        <f t="shared" si="20"/>
        <v>48277.357016687281</v>
      </c>
      <c r="D201" s="631"/>
      <c r="E201" s="617">
        <f t="shared" si="21"/>
        <v>36250.191408749852</v>
      </c>
      <c r="F201" s="617"/>
      <c r="G201" s="630">
        <f t="shared" si="22"/>
        <v>12027.16560793743</v>
      </c>
      <c r="H201" s="630"/>
      <c r="I201" s="617">
        <f t="shared" si="23"/>
        <v>4821331.6888920432</v>
      </c>
      <c r="J201" s="617"/>
      <c r="K201" s="630">
        <f t="shared" si="24"/>
        <v>4366178.8878975073</v>
      </c>
      <c r="L201" s="630"/>
      <c r="M201" s="633" t="str">
        <f t="shared" si="25"/>
        <v>NO</v>
      </c>
      <c r="N201" s="633"/>
      <c r="O201" s="633"/>
    </row>
    <row r="202" spans="1:15" ht="20.149999999999999" customHeight="1" x14ac:dyDescent="0.35">
      <c r="A202" s="217" t="s">
        <v>360</v>
      </c>
      <c r="B202" s="19">
        <f t="shared" si="19"/>
        <v>176</v>
      </c>
      <c r="C202" s="634">
        <f t="shared" si="20"/>
        <v>48277.357016687281</v>
      </c>
      <c r="D202" s="631"/>
      <c r="E202" s="617">
        <f t="shared" si="21"/>
        <v>36159.987666690322</v>
      </c>
      <c r="F202" s="617"/>
      <c r="G202" s="630">
        <f t="shared" si="22"/>
        <v>12117.369349996959</v>
      </c>
      <c r="H202" s="630"/>
      <c r="I202" s="617">
        <f t="shared" si="23"/>
        <v>4809214.3195420466</v>
      </c>
      <c r="J202" s="617"/>
      <c r="K202" s="630">
        <f t="shared" si="24"/>
        <v>4417423.5544094732</v>
      </c>
      <c r="L202" s="630"/>
      <c r="M202" s="633" t="str">
        <f t="shared" si="25"/>
        <v>NO</v>
      </c>
      <c r="N202" s="633"/>
      <c r="O202" s="633"/>
    </row>
    <row r="203" spans="1:15" ht="20.149999999999999" customHeight="1" x14ac:dyDescent="0.35">
      <c r="A203" s="217" t="s">
        <v>361</v>
      </c>
      <c r="B203" s="19">
        <f t="shared" si="19"/>
        <v>177</v>
      </c>
      <c r="C203" s="634">
        <f t="shared" si="20"/>
        <v>48277.357016687281</v>
      </c>
      <c r="D203" s="631"/>
      <c r="E203" s="617">
        <f t="shared" si="21"/>
        <v>36069.107396565349</v>
      </c>
      <c r="F203" s="617"/>
      <c r="G203" s="630">
        <f t="shared" si="22"/>
        <v>12208.249620121933</v>
      </c>
      <c r="H203" s="630"/>
      <c r="I203" s="617">
        <f t="shared" si="23"/>
        <v>4797006.0699219247</v>
      </c>
      <c r="J203" s="617"/>
      <c r="K203" s="630">
        <f t="shared" si="24"/>
        <v>4469154.4709509723</v>
      </c>
      <c r="L203" s="630"/>
      <c r="M203" s="633" t="str">
        <f t="shared" si="25"/>
        <v>NO</v>
      </c>
      <c r="N203" s="633"/>
      <c r="O203" s="633"/>
    </row>
    <row r="204" spans="1:15" ht="20.149999999999999" customHeight="1" x14ac:dyDescent="0.35">
      <c r="A204" s="217" t="s">
        <v>360</v>
      </c>
      <c r="B204" s="19">
        <f t="shared" si="19"/>
        <v>178</v>
      </c>
      <c r="C204" s="634">
        <f t="shared" si="20"/>
        <v>48277.357016687281</v>
      </c>
      <c r="D204" s="631"/>
      <c r="E204" s="617">
        <f t="shared" si="21"/>
        <v>35977.545524414432</v>
      </c>
      <c r="F204" s="617"/>
      <c r="G204" s="630">
        <f t="shared" si="22"/>
        <v>12299.811492272849</v>
      </c>
      <c r="H204" s="630"/>
      <c r="I204" s="617">
        <f t="shared" si="23"/>
        <v>4784706.2584296521</v>
      </c>
      <c r="J204" s="617"/>
      <c r="K204" s="630">
        <f t="shared" si="24"/>
        <v>4521376.2514478499</v>
      </c>
      <c r="L204" s="630"/>
      <c r="M204" s="633" t="str">
        <f t="shared" si="25"/>
        <v>NO</v>
      </c>
      <c r="N204" s="633"/>
      <c r="O204" s="633"/>
    </row>
    <row r="205" spans="1:15" ht="20.149999999999999" customHeight="1" x14ac:dyDescent="0.35">
      <c r="A205" s="217" t="s">
        <v>361</v>
      </c>
      <c r="B205" s="19">
        <f t="shared" si="19"/>
        <v>179</v>
      </c>
      <c r="C205" s="634">
        <f t="shared" si="20"/>
        <v>48277.357016687281</v>
      </c>
      <c r="D205" s="631"/>
      <c r="E205" s="617">
        <f t="shared" si="21"/>
        <v>35885.296938222389</v>
      </c>
      <c r="F205" s="617"/>
      <c r="G205" s="630">
        <f t="shared" si="22"/>
        <v>12392.060078464892</v>
      </c>
      <c r="H205" s="630"/>
      <c r="I205" s="617">
        <f t="shared" si="23"/>
        <v>4772314.1983511876</v>
      </c>
      <c r="J205" s="617"/>
      <c r="K205" s="630">
        <f t="shared" si="24"/>
        <v>4574093.5536065381</v>
      </c>
      <c r="L205" s="630"/>
      <c r="M205" s="633" t="str">
        <f t="shared" si="25"/>
        <v>NO</v>
      </c>
      <c r="N205" s="633"/>
      <c r="O205" s="633"/>
    </row>
    <row r="206" spans="1:15" ht="20.149999999999999" customHeight="1" x14ac:dyDescent="0.35">
      <c r="A206" s="217" t="s">
        <v>360</v>
      </c>
      <c r="B206" s="19">
        <f t="shared" si="19"/>
        <v>180</v>
      </c>
      <c r="C206" s="634">
        <f t="shared" si="20"/>
        <v>48277.357016687281</v>
      </c>
      <c r="D206" s="631"/>
      <c r="E206" s="617">
        <f t="shared" si="21"/>
        <v>35792.356487633908</v>
      </c>
      <c r="F206" s="617"/>
      <c r="G206" s="630">
        <f t="shared" si="22"/>
        <v>12485.000529053374</v>
      </c>
      <c r="H206" s="630"/>
      <c r="I206" s="617">
        <f t="shared" si="23"/>
        <v>4759829.197822134</v>
      </c>
      <c r="J206" s="617"/>
      <c r="K206" s="630">
        <f t="shared" si="24"/>
        <v>4627311.0793294795</v>
      </c>
      <c r="L206" s="630"/>
      <c r="M206" s="633" t="str">
        <f t="shared" si="25"/>
        <v>NO</v>
      </c>
      <c r="N206" s="633"/>
      <c r="O206" s="633"/>
    </row>
    <row r="207" spans="1:15" ht="20.149999999999999" customHeight="1" x14ac:dyDescent="0.35">
      <c r="A207" s="217" t="s">
        <v>361</v>
      </c>
      <c r="B207" s="19">
        <f t="shared" si="19"/>
        <v>181</v>
      </c>
      <c r="C207" s="634">
        <f t="shared" si="20"/>
        <v>48277.357016687281</v>
      </c>
      <c r="D207" s="631"/>
      <c r="E207" s="617">
        <f t="shared" si="21"/>
        <v>35698.718983666004</v>
      </c>
      <c r="F207" s="617"/>
      <c r="G207" s="630">
        <f t="shared" si="22"/>
        <v>12578.638033021278</v>
      </c>
      <c r="H207" s="630"/>
      <c r="I207" s="617">
        <f t="shared" si="23"/>
        <v>4747250.5597891128</v>
      </c>
      <c r="J207" s="617"/>
      <c r="K207" s="630">
        <f t="shared" si="24"/>
        <v>4681033.5751344971</v>
      </c>
      <c r="L207" s="630"/>
      <c r="M207" s="633" t="str">
        <f t="shared" si="25"/>
        <v>NO</v>
      </c>
      <c r="N207" s="633"/>
      <c r="O207" s="633"/>
    </row>
    <row r="208" spans="1:15" ht="20.149999999999999" customHeight="1" x14ac:dyDescent="0.35">
      <c r="A208" s="217" t="s">
        <v>360</v>
      </c>
      <c r="B208" s="19">
        <f t="shared" si="19"/>
        <v>182</v>
      </c>
      <c r="C208" s="634">
        <f t="shared" si="20"/>
        <v>48277.357016687281</v>
      </c>
      <c r="D208" s="631"/>
      <c r="E208" s="617">
        <f t="shared" si="21"/>
        <v>35604.379198418341</v>
      </c>
      <c r="F208" s="617"/>
      <c r="G208" s="630">
        <f t="shared" si="22"/>
        <v>12672.977818268941</v>
      </c>
      <c r="H208" s="630"/>
      <c r="I208" s="617">
        <f t="shared" si="23"/>
        <v>4734577.5819708435</v>
      </c>
      <c r="J208" s="617"/>
      <c r="K208" s="630">
        <f t="shared" si="24"/>
        <v>4735265.8325781375</v>
      </c>
      <c r="L208" s="630"/>
      <c r="M208" s="633" t="str">
        <f t="shared" si="25"/>
        <v>YES</v>
      </c>
      <c r="N208" s="633"/>
      <c r="O208" s="633"/>
    </row>
    <row r="209" spans="1:15" ht="20.149999999999999" customHeight="1" x14ac:dyDescent="0.35">
      <c r="A209" s="217" t="s">
        <v>361</v>
      </c>
      <c r="B209" s="19">
        <f t="shared" si="19"/>
        <v>183</v>
      </c>
      <c r="C209" s="634">
        <f t="shared" si="20"/>
        <v>48277.357016687281</v>
      </c>
      <c r="D209" s="631"/>
      <c r="E209" s="617">
        <f t="shared" si="21"/>
        <v>35509.331864781321</v>
      </c>
      <c r="F209" s="617"/>
      <c r="G209" s="630">
        <f t="shared" si="22"/>
        <v>12768.02515190596</v>
      </c>
      <c r="H209" s="630"/>
      <c r="I209" s="617">
        <f t="shared" si="23"/>
        <v>4721809.5568189379</v>
      </c>
      <c r="J209" s="617"/>
      <c r="K209" s="630">
        <f t="shared" si="24"/>
        <v>4790012.6886830358</v>
      </c>
      <c r="L209" s="630"/>
      <c r="M209" s="633" t="str">
        <f t="shared" si="25"/>
        <v>YES</v>
      </c>
      <c r="N209" s="633"/>
      <c r="O209" s="633"/>
    </row>
    <row r="210" spans="1:15" ht="20.149999999999999" customHeight="1" x14ac:dyDescent="0.35">
      <c r="A210" s="217" t="s">
        <v>360</v>
      </c>
      <c r="B210" s="19">
        <f t="shared" si="19"/>
        <v>184</v>
      </c>
      <c r="C210" s="634">
        <f t="shared" si="20"/>
        <v>48277.357016687281</v>
      </c>
      <c r="D210" s="631"/>
      <c r="E210" s="617">
        <f t="shared" si="21"/>
        <v>35413.571676142034</v>
      </c>
      <c r="F210" s="617"/>
      <c r="G210" s="630">
        <f t="shared" si="22"/>
        <v>12863.785340545248</v>
      </c>
      <c r="H210" s="630"/>
      <c r="I210" s="617">
        <f t="shared" si="23"/>
        <v>4708945.7714783922</v>
      </c>
      <c r="J210" s="617"/>
      <c r="K210" s="630">
        <f t="shared" si="24"/>
        <v>4845279.0263693323</v>
      </c>
      <c r="L210" s="630"/>
      <c r="M210" s="633" t="str">
        <f t="shared" si="25"/>
        <v>YES</v>
      </c>
      <c r="N210" s="633"/>
      <c r="O210" s="633"/>
    </row>
    <row r="211" spans="1:15" ht="20.149999999999999" customHeight="1" x14ac:dyDescent="0.35">
      <c r="A211" s="217" t="s">
        <v>361</v>
      </c>
      <c r="B211" s="19">
        <f t="shared" si="19"/>
        <v>185</v>
      </c>
      <c r="C211" s="634">
        <f t="shared" si="20"/>
        <v>48277.357016687281</v>
      </c>
      <c r="D211" s="631"/>
      <c r="E211" s="617">
        <f t="shared" si="21"/>
        <v>35317.09328608794</v>
      </c>
      <c r="F211" s="617"/>
      <c r="G211" s="630">
        <f t="shared" si="22"/>
        <v>12960.263730599341</v>
      </c>
      <c r="H211" s="630"/>
      <c r="I211" s="617">
        <f t="shared" si="23"/>
        <v>4695985.5077477926</v>
      </c>
      <c r="J211" s="617"/>
      <c r="K211" s="630">
        <f t="shared" si="24"/>
        <v>4901069.7748901872</v>
      </c>
      <c r="L211" s="630"/>
      <c r="M211" s="633" t="str">
        <f t="shared" si="25"/>
        <v>YES</v>
      </c>
      <c r="N211" s="633"/>
      <c r="O211" s="633"/>
    </row>
    <row r="212" spans="1:15" ht="20.149999999999999" customHeight="1" x14ac:dyDescent="0.35">
      <c r="A212" s="217" t="s">
        <v>360</v>
      </c>
      <c r="B212" s="19">
        <f t="shared" si="19"/>
        <v>186</v>
      </c>
      <c r="C212" s="634">
        <f t="shared" si="20"/>
        <v>48277.357016687281</v>
      </c>
      <c r="D212" s="631"/>
      <c r="E212" s="617">
        <f t="shared" si="21"/>
        <v>35219.891308108439</v>
      </c>
      <c r="F212" s="617"/>
      <c r="G212" s="630">
        <f t="shared" si="22"/>
        <v>13057.465708578842</v>
      </c>
      <c r="H212" s="630"/>
      <c r="I212" s="617">
        <f t="shared" si="23"/>
        <v>4682928.0420392137</v>
      </c>
      <c r="J212" s="617"/>
      <c r="K212" s="630">
        <f t="shared" si="24"/>
        <v>4957389.910271422</v>
      </c>
      <c r="L212" s="630"/>
      <c r="M212" s="633" t="str">
        <f t="shared" si="25"/>
        <v>YES</v>
      </c>
      <c r="N212" s="633"/>
      <c r="O212" s="633"/>
    </row>
    <row r="213" spans="1:15" ht="20.149999999999999" customHeight="1" x14ac:dyDescent="0.35">
      <c r="A213" s="217" t="s">
        <v>361</v>
      </c>
      <c r="B213" s="19">
        <f t="shared" si="19"/>
        <v>187</v>
      </c>
      <c r="C213" s="634">
        <f t="shared" si="20"/>
        <v>48277.357016687281</v>
      </c>
      <c r="D213" s="631"/>
      <c r="E213" s="617">
        <f t="shared" si="21"/>
        <v>35121.960315294105</v>
      </c>
      <c r="F213" s="617"/>
      <c r="G213" s="630">
        <f t="shared" si="22"/>
        <v>13155.396701393176</v>
      </c>
      <c r="H213" s="630"/>
      <c r="I213" s="617">
        <f t="shared" si="23"/>
        <v>4669772.645337821</v>
      </c>
      <c r="J213" s="617"/>
      <c r="K213" s="630">
        <f t="shared" si="24"/>
        <v>5014244.4557553371</v>
      </c>
      <c r="L213" s="630"/>
      <c r="M213" s="633" t="str">
        <f t="shared" si="25"/>
        <v>YES</v>
      </c>
      <c r="N213" s="633"/>
      <c r="O213" s="633"/>
    </row>
    <row r="214" spans="1:15" ht="20.149999999999999" customHeight="1" x14ac:dyDescent="0.35">
      <c r="A214" s="217" t="s">
        <v>360</v>
      </c>
      <c r="B214" s="19">
        <f t="shared" si="19"/>
        <v>188</v>
      </c>
      <c r="C214" s="634">
        <f t="shared" si="20"/>
        <v>48277.357016687281</v>
      </c>
      <c r="D214" s="631"/>
      <c r="E214" s="617">
        <f t="shared" si="21"/>
        <v>35023.294840033654</v>
      </c>
      <c r="F214" s="617"/>
      <c r="G214" s="630">
        <f t="shared" si="22"/>
        <v>13254.062176653628</v>
      </c>
      <c r="H214" s="630"/>
      <c r="I214" s="617">
        <f t="shared" si="23"/>
        <v>4656518.5831611678</v>
      </c>
      <c r="J214" s="617"/>
      <c r="K214" s="630">
        <f t="shared" si="24"/>
        <v>5071638.4822487384</v>
      </c>
      <c r="L214" s="630"/>
      <c r="M214" s="633" t="str">
        <f t="shared" si="25"/>
        <v>YES</v>
      </c>
      <c r="N214" s="633"/>
      <c r="O214" s="633"/>
    </row>
    <row r="215" spans="1:15" ht="20.149999999999999" customHeight="1" x14ac:dyDescent="0.35">
      <c r="A215" s="217" t="s">
        <v>361</v>
      </c>
      <c r="B215" s="19">
        <f t="shared" si="19"/>
        <v>189</v>
      </c>
      <c r="C215" s="634">
        <f t="shared" si="20"/>
        <v>48277.357016687281</v>
      </c>
      <c r="D215" s="631"/>
      <c r="E215" s="617">
        <f t="shared" si="21"/>
        <v>34923.889373708756</v>
      </c>
      <c r="F215" s="617"/>
      <c r="G215" s="630">
        <f t="shared" si="22"/>
        <v>13353.467642978525</v>
      </c>
      <c r="H215" s="630"/>
      <c r="I215" s="617">
        <f t="shared" si="23"/>
        <v>4643165.115518189</v>
      </c>
      <c r="J215" s="617"/>
      <c r="K215" s="630">
        <f t="shared" si="24"/>
        <v>5129577.108775218</v>
      </c>
      <c r="L215" s="630"/>
      <c r="M215" s="633" t="str">
        <f t="shared" si="25"/>
        <v>YES</v>
      </c>
      <c r="N215" s="633"/>
      <c r="O215" s="633"/>
    </row>
    <row r="216" spans="1:15" ht="20.149999999999999" customHeight="1" x14ac:dyDescent="0.35">
      <c r="A216" s="217" t="s">
        <v>360</v>
      </c>
      <c r="B216" s="19">
        <f t="shared" si="19"/>
        <v>190</v>
      </c>
      <c r="C216" s="634">
        <f t="shared" si="20"/>
        <v>48277.357016687281</v>
      </c>
      <c r="D216" s="631"/>
      <c r="E216" s="617">
        <f t="shared" si="21"/>
        <v>34823.738366386417</v>
      </c>
      <c r="F216" s="617"/>
      <c r="G216" s="630">
        <f t="shared" si="22"/>
        <v>13453.618650300865</v>
      </c>
      <c r="H216" s="630"/>
      <c r="I216" s="617">
        <f t="shared" si="23"/>
        <v>4629711.4968678886</v>
      </c>
      <c r="J216" s="617"/>
      <c r="K216" s="630">
        <f t="shared" si="24"/>
        <v>5188065.5029317215</v>
      </c>
      <c r="L216" s="630"/>
      <c r="M216" s="633" t="str">
        <f t="shared" si="25"/>
        <v>YES</v>
      </c>
      <c r="N216" s="633"/>
      <c r="O216" s="633"/>
    </row>
    <row r="217" spans="1:15" ht="20.149999999999999" customHeight="1" x14ac:dyDescent="0.35">
      <c r="A217" s="217" t="s">
        <v>361</v>
      </c>
      <c r="B217" s="19">
        <f t="shared" si="19"/>
        <v>191</v>
      </c>
      <c r="C217" s="634">
        <f t="shared" si="20"/>
        <v>48277.357016687281</v>
      </c>
      <c r="D217" s="631"/>
      <c r="E217" s="617">
        <f t="shared" si="21"/>
        <v>34722.836226509164</v>
      </c>
      <c r="F217" s="617"/>
      <c r="G217" s="630">
        <f t="shared" si="22"/>
        <v>13554.520790178118</v>
      </c>
      <c r="H217" s="630"/>
      <c r="I217" s="617">
        <f t="shared" si="23"/>
        <v>4616156.9760777103</v>
      </c>
      <c r="J217" s="617"/>
      <c r="K217" s="630">
        <f t="shared" si="24"/>
        <v>5247108.8813494518</v>
      </c>
      <c r="L217" s="630"/>
      <c r="M217" s="633" t="str">
        <f t="shared" si="25"/>
        <v>YES</v>
      </c>
      <c r="N217" s="633"/>
      <c r="O217" s="633"/>
    </row>
    <row r="218" spans="1:15" ht="20.149999999999999" customHeight="1" x14ac:dyDescent="0.35">
      <c r="A218" s="217" t="s">
        <v>360</v>
      </c>
      <c r="B218" s="19">
        <f t="shared" si="19"/>
        <v>192</v>
      </c>
      <c r="C218" s="634">
        <f t="shared" si="20"/>
        <v>48277.357016687281</v>
      </c>
      <c r="D218" s="631"/>
      <c r="E218" s="617">
        <f t="shared" si="21"/>
        <v>34621.177320582829</v>
      </c>
      <c r="F218" s="617"/>
      <c r="G218" s="630">
        <f t="shared" si="22"/>
        <v>13656.179696104453</v>
      </c>
      <c r="H218" s="630"/>
      <c r="I218" s="617">
        <f t="shared" si="23"/>
        <v>4602500.7963816058</v>
      </c>
      <c r="J218" s="617"/>
      <c r="K218" s="630">
        <f t="shared" si="24"/>
        <v>5306712.510159147</v>
      </c>
      <c r="L218" s="630"/>
      <c r="M218" s="633" t="str">
        <f t="shared" si="25"/>
        <v>YES</v>
      </c>
      <c r="N218" s="633"/>
      <c r="O218" s="633"/>
    </row>
    <row r="219" spans="1:15" ht="20.149999999999999" customHeight="1" x14ac:dyDescent="0.35">
      <c r="A219" s="217" t="s">
        <v>361</v>
      </c>
      <c r="B219" s="19">
        <f t="shared" si="19"/>
        <v>193</v>
      </c>
      <c r="C219" s="634">
        <f t="shared" si="20"/>
        <v>48277.357016687281</v>
      </c>
      <c r="D219" s="631"/>
      <c r="E219" s="617">
        <f t="shared" si="21"/>
        <v>34518.75597286204</v>
      </c>
      <c r="F219" s="617"/>
      <c r="G219" s="630">
        <f t="shared" si="22"/>
        <v>13758.601043825242</v>
      </c>
      <c r="H219" s="630"/>
      <c r="I219" s="617">
        <f t="shared" si="23"/>
        <v>4588742.1953377808</v>
      </c>
      <c r="J219" s="617"/>
      <c r="K219" s="630">
        <f t="shared" si="24"/>
        <v>5366881.7054607663</v>
      </c>
      <c r="L219" s="630"/>
      <c r="M219" s="633" t="str">
        <f t="shared" si="25"/>
        <v>YES</v>
      </c>
      <c r="N219" s="633"/>
      <c r="O219" s="633"/>
    </row>
    <row r="220" spans="1:15" ht="20.149999999999999" customHeight="1" x14ac:dyDescent="0.35">
      <c r="A220" s="217" t="s">
        <v>360</v>
      </c>
      <c r="B220" s="19">
        <f t="shared" ref="B220:B283" si="26">IF(B219="","",IF(B219+1&gt;$G$14*12,"",B219+1))</f>
        <v>194</v>
      </c>
      <c r="C220" s="634">
        <f t="shared" ref="C220:C283" si="27">IF(B220="","",$G$16)</f>
        <v>48277.357016687281</v>
      </c>
      <c r="D220" s="631"/>
      <c r="E220" s="617">
        <f t="shared" ref="E220:E283" si="28">IF(B220="","",I219*$G$15/12)</f>
        <v>34415.566465033357</v>
      </c>
      <c r="F220" s="617"/>
      <c r="G220" s="630">
        <f t="shared" ref="G220:G283" si="29">IF(B220="","",$G$16-E220)</f>
        <v>13861.790551653925</v>
      </c>
      <c r="H220" s="630"/>
      <c r="I220" s="617">
        <f t="shared" ref="I220:I283" si="30">IF(B220="","",I219-G220)</f>
        <v>4574880.4047861267</v>
      </c>
      <c r="J220" s="617"/>
      <c r="K220" s="630">
        <f t="shared" ref="K220:K283" si="31">IF(B220="","",FV((1+$G$20)^(1/12)-1,1,-$G$19,-K219,1))</f>
        <v>5427621.8337976439</v>
      </c>
      <c r="L220" s="630"/>
      <c r="M220" s="633" t="str">
        <f t="shared" ref="M220:M283" si="32">IF(B220="","",IF(K220&gt;=I220,"YES","NO"))</f>
        <v>YES</v>
      </c>
      <c r="N220" s="633"/>
      <c r="O220" s="633"/>
    </row>
    <row r="221" spans="1:15" ht="20.149999999999999" customHeight="1" x14ac:dyDescent="0.35">
      <c r="A221" s="217" t="s">
        <v>361</v>
      </c>
      <c r="B221" s="19">
        <f t="shared" si="26"/>
        <v>195</v>
      </c>
      <c r="C221" s="634">
        <f t="shared" si="27"/>
        <v>48277.357016687281</v>
      </c>
      <c r="D221" s="631"/>
      <c r="E221" s="617">
        <f t="shared" si="28"/>
        <v>34311.603035895947</v>
      </c>
      <c r="F221" s="617"/>
      <c r="G221" s="630">
        <f t="shared" si="29"/>
        <v>13965.753980791334</v>
      </c>
      <c r="H221" s="630"/>
      <c r="I221" s="617">
        <f t="shared" si="30"/>
        <v>4560914.6508053355</v>
      </c>
      <c r="J221" s="617"/>
      <c r="K221" s="630">
        <f t="shared" si="31"/>
        <v>5488938.3126351293</v>
      </c>
      <c r="L221" s="630"/>
      <c r="M221" s="633" t="str">
        <f t="shared" si="32"/>
        <v>YES</v>
      </c>
      <c r="N221" s="633"/>
      <c r="O221" s="633"/>
    </row>
    <row r="222" spans="1:15" ht="20.149999999999999" customHeight="1" x14ac:dyDescent="0.35">
      <c r="A222" s="217" t="s">
        <v>360</v>
      </c>
      <c r="B222" s="19">
        <f t="shared" si="26"/>
        <v>196</v>
      </c>
      <c r="C222" s="634">
        <f t="shared" si="27"/>
        <v>48277.357016687281</v>
      </c>
      <c r="D222" s="631"/>
      <c r="E222" s="617">
        <f t="shared" si="28"/>
        <v>34206.859881040014</v>
      </c>
      <c r="F222" s="617"/>
      <c r="G222" s="630">
        <f t="shared" si="29"/>
        <v>14070.497135647267</v>
      </c>
      <c r="H222" s="630"/>
      <c r="I222" s="617">
        <f t="shared" si="30"/>
        <v>4546844.1536696879</v>
      </c>
      <c r="J222" s="617"/>
      <c r="K222" s="630">
        <f t="shared" si="31"/>
        <v>5550836.6108437814</v>
      </c>
      <c r="L222" s="630"/>
      <c r="M222" s="633" t="str">
        <f t="shared" si="32"/>
        <v>YES</v>
      </c>
      <c r="N222" s="633"/>
      <c r="O222" s="633"/>
    </row>
    <row r="223" spans="1:15" ht="20.149999999999999" customHeight="1" x14ac:dyDescent="0.35">
      <c r="A223" s="217" t="s">
        <v>361</v>
      </c>
      <c r="B223" s="19">
        <f t="shared" si="26"/>
        <v>197</v>
      </c>
      <c r="C223" s="634">
        <f t="shared" si="27"/>
        <v>48277.357016687281</v>
      </c>
      <c r="D223" s="631"/>
      <c r="E223" s="617">
        <f t="shared" si="28"/>
        <v>34101.33115252266</v>
      </c>
      <c r="F223" s="617"/>
      <c r="G223" s="630">
        <f t="shared" si="29"/>
        <v>14176.025864164621</v>
      </c>
      <c r="H223" s="630"/>
      <c r="I223" s="617">
        <f t="shared" si="30"/>
        <v>4532668.1278055236</v>
      </c>
      <c r="J223" s="617"/>
      <c r="K223" s="630">
        <f t="shared" si="31"/>
        <v>5613322.2491871389</v>
      </c>
      <c r="L223" s="630"/>
      <c r="M223" s="633" t="str">
        <f t="shared" si="32"/>
        <v>YES</v>
      </c>
      <c r="N223" s="633"/>
      <c r="O223" s="633"/>
    </row>
    <row r="224" spans="1:15" ht="20.149999999999999" customHeight="1" x14ac:dyDescent="0.35">
      <c r="A224" s="217" t="s">
        <v>360</v>
      </c>
      <c r="B224" s="19">
        <f t="shared" si="26"/>
        <v>198</v>
      </c>
      <c r="C224" s="634">
        <f t="shared" si="27"/>
        <v>48277.357016687281</v>
      </c>
      <c r="D224" s="631"/>
      <c r="E224" s="617">
        <f t="shared" si="28"/>
        <v>33995.010958541425</v>
      </c>
      <c r="F224" s="617"/>
      <c r="G224" s="630">
        <f t="shared" si="29"/>
        <v>14282.346058145857</v>
      </c>
      <c r="H224" s="630"/>
      <c r="I224" s="617">
        <f t="shared" si="30"/>
        <v>4518385.7817473775</v>
      </c>
      <c r="J224" s="617"/>
      <c r="K224" s="630">
        <f t="shared" si="31"/>
        <v>5676400.800814122</v>
      </c>
      <c r="L224" s="630"/>
      <c r="M224" s="633" t="str">
        <f t="shared" si="32"/>
        <v>YES</v>
      </c>
      <c r="N224" s="633"/>
      <c r="O224" s="633"/>
    </row>
    <row r="225" spans="1:15" ht="20.149999999999999" customHeight="1" x14ac:dyDescent="0.35">
      <c r="A225" s="217" t="s">
        <v>361</v>
      </c>
      <c r="B225" s="19">
        <f t="shared" si="26"/>
        <v>199</v>
      </c>
      <c r="C225" s="634">
        <f t="shared" si="27"/>
        <v>48277.357016687281</v>
      </c>
      <c r="D225" s="631"/>
      <c r="E225" s="617">
        <f t="shared" si="28"/>
        <v>33887.89336310533</v>
      </c>
      <c r="F225" s="617"/>
      <c r="G225" s="630">
        <f t="shared" si="29"/>
        <v>14389.463653581952</v>
      </c>
      <c r="H225" s="630"/>
      <c r="I225" s="617">
        <f t="shared" si="30"/>
        <v>4503996.3180937953</v>
      </c>
      <c r="J225" s="617"/>
      <c r="K225" s="630">
        <f t="shared" si="31"/>
        <v>5740077.8917561071</v>
      </c>
      <c r="L225" s="630"/>
      <c r="M225" s="633" t="str">
        <f t="shared" si="32"/>
        <v>YES</v>
      </c>
      <c r="N225" s="633"/>
      <c r="O225" s="633"/>
    </row>
    <row r="226" spans="1:15" ht="20.149999999999999" customHeight="1" x14ac:dyDescent="0.35">
      <c r="A226" s="217" t="s">
        <v>360</v>
      </c>
      <c r="B226" s="19">
        <f t="shared" si="26"/>
        <v>200</v>
      </c>
      <c r="C226" s="634">
        <f t="shared" si="27"/>
        <v>48277.357016687281</v>
      </c>
      <c r="D226" s="631"/>
      <c r="E226" s="617">
        <f t="shared" si="28"/>
        <v>33779.972385703462</v>
      </c>
      <c r="F226" s="617"/>
      <c r="G226" s="630">
        <f t="shared" si="29"/>
        <v>14497.384630983819</v>
      </c>
      <c r="H226" s="630"/>
      <c r="I226" s="617">
        <f t="shared" si="30"/>
        <v>4489498.9334628116</v>
      </c>
      <c r="J226" s="617"/>
      <c r="K226" s="630">
        <f t="shared" si="31"/>
        <v>5804359.201428717</v>
      </c>
      <c r="L226" s="630"/>
      <c r="M226" s="633" t="str">
        <f t="shared" si="32"/>
        <v>YES</v>
      </c>
      <c r="N226" s="633"/>
      <c r="O226" s="633"/>
    </row>
    <row r="227" spans="1:15" ht="20.149999999999999" customHeight="1" x14ac:dyDescent="0.35">
      <c r="A227" s="217" t="s">
        <v>361</v>
      </c>
      <c r="B227" s="19">
        <f t="shared" si="26"/>
        <v>201</v>
      </c>
      <c r="C227" s="634">
        <f t="shared" si="27"/>
        <v>48277.357016687281</v>
      </c>
      <c r="D227" s="631"/>
      <c r="E227" s="617">
        <f t="shared" si="28"/>
        <v>33671.242000971084</v>
      </c>
      <c r="F227" s="617"/>
      <c r="G227" s="630">
        <f t="shared" si="29"/>
        <v>14606.115015716197</v>
      </c>
      <c r="H227" s="630"/>
      <c r="I227" s="617">
        <f t="shared" si="30"/>
        <v>4474892.8184470953</v>
      </c>
      <c r="J227" s="617"/>
      <c r="K227" s="630">
        <f t="shared" si="31"/>
        <v>5869250.4631383736</v>
      </c>
      <c r="L227" s="630"/>
      <c r="M227" s="633" t="str">
        <f t="shared" si="32"/>
        <v>YES</v>
      </c>
      <c r="N227" s="633"/>
      <c r="O227" s="633"/>
    </row>
    <row r="228" spans="1:15" ht="20.149999999999999" customHeight="1" x14ac:dyDescent="0.35">
      <c r="A228" s="217" t="s">
        <v>360</v>
      </c>
      <c r="B228" s="19">
        <f t="shared" si="26"/>
        <v>202</v>
      </c>
      <c r="C228" s="634">
        <f t="shared" si="27"/>
        <v>48277.357016687281</v>
      </c>
      <c r="D228" s="631"/>
      <c r="E228" s="617">
        <f t="shared" si="28"/>
        <v>33561.696138353211</v>
      </c>
      <c r="F228" s="617"/>
      <c r="G228" s="630">
        <f t="shared" si="29"/>
        <v>14715.660878334071</v>
      </c>
      <c r="H228" s="630"/>
      <c r="I228" s="617">
        <f t="shared" si="30"/>
        <v>4460177.1575687611</v>
      </c>
      <c r="J228" s="617"/>
      <c r="K228" s="630">
        <f t="shared" si="31"/>
        <v>5934757.4645936573</v>
      </c>
      <c r="L228" s="630"/>
      <c r="M228" s="633" t="str">
        <f t="shared" si="32"/>
        <v>YES</v>
      </c>
      <c r="N228" s="633"/>
      <c r="O228" s="633"/>
    </row>
    <row r="229" spans="1:15" ht="20.149999999999999" customHeight="1" x14ac:dyDescent="0.35">
      <c r="A229" s="217" t="s">
        <v>361</v>
      </c>
      <c r="B229" s="19">
        <f t="shared" si="26"/>
        <v>203</v>
      </c>
      <c r="C229" s="634">
        <f t="shared" si="27"/>
        <v>48277.357016687281</v>
      </c>
      <c r="D229" s="631"/>
      <c r="E229" s="617">
        <f t="shared" si="28"/>
        <v>33451.328681765706</v>
      </c>
      <c r="F229" s="617"/>
      <c r="G229" s="630">
        <f t="shared" si="29"/>
        <v>14826.028334921575</v>
      </c>
      <c r="H229" s="630"/>
      <c r="I229" s="617">
        <f t="shared" si="30"/>
        <v>4445351.1292338399</v>
      </c>
      <c r="J229" s="617"/>
      <c r="K229" s="630">
        <f t="shared" si="31"/>
        <v>6000886.0484215161</v>
      </c>
      <c r="L229" s="630"/>
      <c r="M229" s="633" t="str">
        <f t="shared" si="32"/>
        <v>YES</v>
      </c>
      <c r="N229" s="633"/>
      <c r="O229" s="633"/>
    </row>
    <row r="230" spans="1:15" ht="20.149999999999999" customHeight="1" x14ac:dyDescent="0.35">
      <c r="A230" s="217" t="s">
        <v>360</v>
      </c>
      <c r="B230" s="19">
        <f t="shared" si="26"/>
        <v>204</v>
      </c>
      <c r="C230" s="634">
        <f t="shared" si="27"/>
        <v>48277.357016687281</v>
      </c>
      <c r="D230" s="631"/>
      <c r="E230" s="617">
        <f t="shared" si="28"/>
        <v>33340.1334692538</v>
      </c>
      <c r="F230" s="617"/>
      <c r="G230" s="630">
        <f t="shared" si="29"/>
        <v>14937.223547433481</v>
      </c>
      <c r="H230" s="630"/>
      <c r="I230" s="617">
        <f t="shared" si="30"/>
        <v>4430413.9056864064</v>
      </c>
      <c r="J230" s="617"/>
      <c r="K230" s="630">
        <f t="shared" si="31"/>
        <v>6067642.1126883747</v>
      </c>
      <c r="L230" s="630"/>
      <c r="M230" s="633" t="str">
        <f t="shared" si="32"/>
        <v>YES</v>
      </c>
      <c r="N230" s="633"/>
      <c r="O230" s="633"/>
    </row>
    <row r="231" spans="1:15" ht="20.149999999999999" customHeight="1" x14ac:dyDescent="0.35">
      <c r="A231" s="217" t="s">
        <v>361</v>
      </c>
      <c r="B231" s="19">
        <f t="shared" si="26"/>
        <v>205</v>
      </c>
      <c r="C231" s="634">
        <f t="shared" si="27"/>
        <v>48277.357016687281</v>
      </c>
      <c r="D231" s="631"/>
      <c r="E231" s="617">
        <f t="shared" si="28"/>
        <v>33228.104292648051</v>
      </c>
      <c r="F231" s="617"/>
      <c r="G231" s="630">
        <f t="shared" si="29"/>
        <v>15049.25272403923</v>
      </c>
      <c r="H231" s="630"/>
      <c r="I231" s="617">
        <f t="shared" si="30"/>
        <v>4415364.6529623671</v>
      </c>
      <c r="J231" s="617"/>
      <c r="K231" s="630">
        <f t="shared" si="31"/>
        <v>6135031.6114261886</v>
      </c>
      <c r="L231" s="630"/>
      <c r="M231" s="633" t="str">
        <f t="shared" si="32"/>
        <v>YES</v>
      </c>
      <c r="N231" s="633"/>
      <c r="O231" s="633"/>
    </row>
    <row r="232" spans="1:15" ht="20.149999999999999" customHeight="1" x14ac:dyDescent="0.35">
      <c r="A232" s="217" t="s">
        <v>360</v>
      </c>
      <c r="B232" s="19">
        <f t="shared" si="26"/>
        <v>206</v>
      </c>
      <c r="C232" s="634">
        <f t="shared" si="27"/>
        <v>48277.357016687281</v>
      </c>
      <c r="D232" s="631"/>
      <c r="E232" s="617">
        <f t="shared" si="28"/>
        <v>33115.23489721775</v>
      </c>
      <c r="F232" s="617"/>
      <c r="G232" s="630">
        <f t="shared" si="29"/>
        <v>15162.122119469532</v>
      </c>
      <c r="H232" s="630"/>
      <c r="I232" s="617">
        <f t="shared" si="30"/>
        <v>4400202.5308428975</v>
      </c>
      <c r="J232" s="617"/>
      <c r="K232" s="630">
        <f t="shared" si="31"/>
        <v>6203060.5551634915</v>
      </c>
      <c r="L232" s="630"/>
      <c r="M232" s="633" t="str">
        <f t="shared" si="32"/>
        <v>YES</v>
      </c>
      <c r="N232" s="633"/>
      <c r="O232" s="633"/>
    </row>
    <row r="233" spans="1:15" ht="20.149999999999999" customHeight="1" x14ac:dyDescent="0.35">
      <c r="A233" s="217" t="s">
        <v>361</v>
      </c>
      <c r="B233" s="19">
        <f t="shared" si="26"/>
        <v>207</v>
      </c>
      <c r="C233" s="634">
        <f t="shared" si="27"/>
        <v>48277.357016687281</v>
      </c>
      <c r="D233" s="631"/>
      <c r="E233" s="617">
        <f t="shared" si="28"/>
        <v>33001.518981321729</v>
      </c>
      <c r="F233" s="617"/>
      <c r="G233" s="630">
        <f t="shared" si="29"/>
        <v>15275.838035365552</v>
      </c>
      <c r="H233" s="630"/>
      <c r="I233" s="617">
        <f t="shared" si="30"/>
        <v>4384926.6928075319</v>
      </c>
      <c r="J233" s="617"/>
      <c r="K233" s="630">
        <f t="shared" si="31"/>
        <v>6271735.0114614759</v>
      </c>
      <c r="L233" s="630"/>
      <c r="M233" s="633" t="str">
        <f t="shared" si="32"/>
        <v>YES</v>
      </c>
      <c r="N233" s="633"/>
      <c r="O233" s="633"/>
    </row>
    <row r="234" spans="1:15" ht="20.149999999999999" customHeight="1" x14ac:dyDescent="0.35">
      <c r="A234" s="217" t="s">
        <v>360</v>
      </c>
      <c r="B234" s="19">
        <f t="shared" si="26"/>
        <v>208</v>
      </c>
      <c r="C234" s="634">
        <f t="shared" si="27"/>
        <v>48277.357016687281</v>
      </c>
      <c r="D234" s="631"/>
      <c r="E234" s="617">
        <f t="shared" si="28"/>
        <v>32886.950196056488</v>
      </c>
      <c r="F234" s="617"/>
      <c r="G234" s="630">
        <f t="shared" si="29"/>
        <v>15390.406820630793</v>
      </c>
      <c r="H234" s="630"/>
      <c r="I234" s="617">
        <f t="shared" si="30"/>
        <v>4369536.2859869013</v>
      </c>
      <c r="J234" s="617"/>
      <c r="K234" s="630">
        <f t="shared" si="31"/>
        <v>6341061.1054551667</v>
      </c>
      <c r="L234" s="630"/>
      <c r="M234" s="633" t="str">
        <f t="shared" si="32"/>
        <v>YES</v>
      </c>
      <c r="N234" s="633"/>
      <c r="O234" s="633"/>
    </row>
    <row r="235" spans="1:15" ht="20.149999999999999" customHeight="1" x14ac:dyDescent="0.35">
      <c r="A235" s="217" t="s">
        <v>361</v>
      </c>
      <c r="B235" s="19">
        <f t="shared" si="26"/>
        <v>209</v>
      </c>
      <c r="C235" s="634">
        <f t="shared" si="27"/>
        <v>48277.357016687281</v>
      </c>
      <c r="D235" s="631"/>
      <c r="E235" s="617">
        <f t="shared" si="28"/>
        <v>32771.522144901763</v>
      </c>
      <c r="F235" s="617"/>
      <c r="G235" s="630">
        <f t="shared" si="29"/>
        <v>15505.834871785519</v>
      </c>
      <c r="H235" s="630"/>
      <c r="I235" s="617">
        <f t="shared" si="30"/>
        <v>4354030.4511151155</v>
      </c>
      <c r="J235" s="617"/>
      <c r="K235" s="630">
        <f t="shared" si="31"/>
        <v>6411045.0203997269</v>
      </c>
      <c r="L235" s="630"/>
      <c r="M235" s="633" t="str">
        <f t="shared" si="32"/>
        <v>YES</v>
      </c>
      <c r="N235" s="633"/>
      <c r="O235" s="633"/>
    </row>
    <row r="236" spans="1:15" ht="20.149999999999999" customHeight="1" x14ac:dyDescent="0.35">
      <c r="A236" s="217" t="s">
        <v>360</v>
      </c>
      <c r="B236" s="19">
        <f t="shared" si="26"/>
        <v>210</v>
      </c>
      <c r="C236" s="634">
        <f t="shared" si="27"/>
        <v>48277.357016687281</v>
      </c>
      <c r="D236" s="631"/>
      <c r="E236" s="617">
        <f t="shared" si="28"/>
        <v>32655.228383363366</v>
      </c>
      <c r="F236" s="617"/>
      <c r="G236" s="630">
        <f t="shared" si="29"/>
        <v>15622.128633323915</v>
      </c>
      <c r="H236" s="630"/>
      <c r="I236" s="617">
        <f t="shared" si="30"/>
        <v>4338408.3224817915</v>
      </c>
      <c r="J236" s="617"/>
      <c r="K236" s="630">
        <f t="shared" si="31"/>
        <v>6481692.9982219478</v>
      </c>
      <c r="L236" s="630"/>
      <c r="M236" s="633" t="str">
        <f t="shared" si="32"/>
        <v>YES</v>
      </c>
      <c r="N236" s="633"/>
      <c r="O236" s="633"/>
    </row>
    <row r="237" spans="1:15" ht="20.149999999999999" customHeight="1" x14ac:dyDescent="0.35">
      <c r="A237" s="217" t="s">
        <v>361</v>
      </c>
      <c r="B237" s="19">
        <f t="shared" si="26"/>
        <v>211</v>
      </c>
      <c r="C237" s="634">
        <f t="shared" si="27"/>
        <v>48277.357016687281</v>
      </c>
      <c r="D237" s="631"/>
      <c r="E237" s="617">
        <f t="shared" si="28"/>
        <v>32538.062418613437</v>
      </c>
      <c r="F237" s="617"/>
      <c r="G237" s="630">
        <f t="shared" si="29"/>
        <v>15739.294598073844</v>
      </c>
      <c r="H237" s="630"/>
      <c r="I237" s="617">
        <f t="shared" si="30"/>
        <v>4322669.0278837178</v>
      </c>
      <c r="J237" s="617"/>
      <c r="K237" s="630">
        <f t="shared" si="31"/>
        <v>6553011.3400769709</v>
      </c>
      <c r="L237" s="630"/>
      <c r="M237" s="633" t="str">
        <f t="shared" si="32"/>
        <v>YES</v>
      </c>
      <c r="N237" s="633"/>
      <c r="O237" s="633"/>
    </row>
    <row r="238" spans="1:15" ht="20.149999999999999" customHeight="1" x14ac:dyDescent="0.35">
      <c r="A238" s="217" t="s">
        <v>360</v>
      </c>
      <c r="B238" s="19">
        <f t="shared" si="26"/>
        <v>212</v>
      </c>
      <c r="C238" s="634">
        <f t="shared" si="27"/>
        <v>48277.357016687281</v>
      </c>
      <c r="D238" s="631"/>
      <c r="E238" s="617">
        <f t="shared" si="28"/>
        <v>32420.017709127886</v>
      </c>
      <c r="F238" s="617"/>
      <c r="G238" s="630">
        <f t="shared" si="29"/>
        <v>15857.339307559396</v>
      </c>
      <c r="H238" s="630"/>
      <c r="I238" s="617">
        <f t="shared" si="30"/>
        <v>4306811.6885761581</v>
      </c>
      <c r="J238" s="617"/>
      <c r="K238" s="630">
        <f t="shared" si="31"/>
        <v>6625006.4069102937</v>
      </c>
      <c r="L238" s="630"/>
      <c r="M238" s="633" t="str">
        <f t="shared" si="32"/>
        <v>YES</v>
      </c>
      <c r="N238" s="633"/>
      <c r="O238" s="633"/>
    </row>
    <row r="239" spans="1:15" ht="20.149999999999999" customHeight="1" x14ac:dyDescent="0.35">
      <c r="A239" s="217" t="s">
        <v>361</v>
      </c>
      <c r="B239" s="19">
        <f t="shared" si="26"/>
        <v>213</v>
      </c>
      <c r="C239" s="634">
        <f t="shared" si="27"/>
        <v>48277.357016687281</v>
      </c>
      <c r="D239" s="631"/>
      <c r="E239" s="617">
        <f t="shared" si="28"/>
        <v>32301.087664321185</v>
      </c>
      <c r="F239" s="617"/>
      <c r="G239" s="630">
        <f t="shared" si="29"/>
        <v>15976.269352366096</v>
      </c>
      <c r="H239" s="630"/>
      <c r="I239" s="617">
        <f t="shared" si="30"/>
        <v>4290835.4192237919</v>
      </c>
      <c r="J239" s="617"/>
      <c r="K239" s="630">
        <f t="shared" si="31"/>
        <v>6697684.6200251095</v>
      </c>
      <c r="L239" s="630"/>
      <c r="M239" s="633" t="str">
        <f t="shared" si="32"/>
        <v>YES</v>
      </c>
      <c r="N239" s="633"/>
      <c r="O239" s="633"/>
    </row>
    <row r="240" spans="1:15" ht="20.149999999999999" customHeight="1" x14ac:dyDescent="0.35">
      <c r="A240" s="217" t="s">
        <v>360</v>
      </c>
      <c r="B240" s="19">
        <f t="shared" si="26"/>
        <v>214</v>
      </c>
      <c r="C240" s="634">
        <f t="shared" si="27"/>
        <v>48277.357016687281</v>
      </c>
      <c r="D240" s="631"/>
      <c r="E240" s="617">
        <f t="shared" si="28"/>
        <v>32181.265644178438</v>
      </c>
      <c r="F240" s="617"/>
      <c r="G240" s="630">
        <f t="shared" si="29"/>
        <v>16096.091372508843</v>
      </c>
      <c r="H240" s="630"/>
      <c r="I240" s="617">
        <f t="shared" si="30"/>
        <v>4274739.3278512834</v>
      </c>
      <c r="J240" s="617"/>
      <c r="K240" s="630">
        <f t="shared" si="31"/>
        <v>6771052.4616550272</v>
      </c>
      <c r="L240" s="630"/>
      <c r="M240" s="633" t="str">
        <f t="shared" si="32"/>
        <v>YES</v>
      </c>
      <c r="N240" s="633"/>
      <c r="O240" s="633"/>
    </row>
    <row r="241" spans="1:15" ht="20.149999999999999" customHeight="1" x14ac:dyDescent="0.35">
      <c r="A241" s="217" t="s">
        <v>361</v>
      </c>
      <c r="B241" s="19">
        <f t="shared" si="26"/>
        <v>215</v>
      </c>
      <c r="C241" s="634">
        <f t="shared" si="27"/>
        <v>48277.357016687281</v>
      </c>
      <c r="D241" s="631"/>
      <c r="E241" s="617">
        <f t="shared" si="28"/>
        <v>32060.544958884624</v>
      </c>
      <c r="F241" s="617"/>
      <c r="G241" s="630">
        <f t="shared" si="29"/>
        <v>16216.812057802657</v>
      </c>
      <c r="H241" s="630"/>
      <c r="I241" s="617">
        <f t="shared" si="30"/>
        <v>4258522.5157934809</v>
      </c>
      <c r="J241" s="617"/>
      <c r="K241" s="630">
        <f t="shared" si="31"/>
        <v>6845116.4755422287</v>
      </c>
      <c r="L241" s="630"/>
      <c r="M241" s="633" t="str">
        <f t="shared" si="32"/>
        <v>YES</v>
      </c>
      <c r="N241" s="633"/>
      <c r="O241" s="633"/>
    </row>
    <row r="242" spans="1:15" ht="20.149999999999999" customHeight="1" x14ac:dyDescent="0.35">
      <c r="A242" s="217" t="s">
        <v>360</v>
      </c>
      <c r="B242" s="19">
        <f t="shared" si="26"/>
        <v>216</v>
      </c>
      <c r="C242" s="634">
        <f t="shared" si="27"/>
        <v>48277.357016687281</v>
      </c>
      <c r="D242" s="631"/>
      <c r="E242" s="617">
        <f t="shared" si="28"/>
        <v>31938.918868451106</v>
      </c>
      <c r="F242" s="617"/>
      <c r="G242" s="630">
        <f t="shared" si="29"/>
        <v>16338.438148236175</v>
      </c>
      <c r="H242" s="630"/>
      <c r="I242" s="617">
        <f t="shared" si="30"/>
        <v>4242184.077645245</v>
      </c>
      <c r="J242" s="617"/>
      <c r="K242" s="630">
        <f t="shared" si="31"/>
        <v>6919883.2675211094</v>
      </c>
      <c r="L242" s="630"/>
      <c r="M242" s="633" t="str">
        <f t="shared" si="32"/>
        <v>YES</v>
      </c>
      <c r="N242" s="633"/>
      <c r="O242" s="633"/>
    </row>
    <row r="243" spans="1:15" ht="20.149999999999999" customHeight="1" x14ac:dyDescent="0.35">
      <c r="A243" s="217" t="s">
        <v>361</v>
      </c>
      <c r="B243" s="19">
        <f t="shared" si="26"/>
        <v>217</v>
      </c>
      <c r="C243" s="634">
        <f t="shared" si="27"/>
        <v>48277.357016687281</v>
      </c>
      <c r="D243" s="631"/>
      <c r="E243" s="617">
        <f t="shared" si="28"/>
        <v>31816.380582339334</v>
      </c>
      <c r="F243" s="617"/>
      <c r="G243" s="630">
        <f t="shared" si="29"/>
        <v>16460.976434347947</v>
      </c>
      <c r="H243" s="630"/>
      <c r="I243" s="617">
        <f t="shared" si="30"/>
        <v>4225723.1012108969</v>
      </c>
      <c r="J243" s="617"/>
      <c r="K243" s="630">
        <f t="shared" si="31"/>
        <v>6995359.5061074616</v>
      </c>
      <c r="L243" s="630"/>
      <c r="M243" s="633" t="str">
        <f t="shared" si="32"/>
        <v>YES</v>
      </c>
      <c r="N243" s="633"/>
      <c r="O243" s="633"/>
    </row>
    <row r="244" spans="1:15" ht="20.149999999999999" customHeight="1" x14ac:dyDescent="0.35">
      <c r="A244" s="217" t="s">
        <v>360</v>
      </c>
      <c r="B244" s="19">
        <f t="shared" si="26"/>
        <v>218</v>
      </c>
      <c r="C244" s="634">
        <f t="shared" si="27"/>
        <v>48277.357016687281</v>
      </c>
      <c r="D244" s="631"/>
      <c r="E244" s="617">
        <f t="shared" si="28"/>
        <v>31692.923259081726</v>
      </c>
      <c r="F244" s="617"/>
      <c r="G244" s="630">
        <f t="shared" si="29"/>
        <v>16584.433757605555</v>
      </c>
      <c r="H244" s="630"/>
      <c r="I244" s="617">
        <f t="shared" si="30"/>
        <v>4209138.6674532909</v>
      </c>
      <c r="J244" s="617"/>
      <c r="K244" s="630">
        <f t="shared" si="31"/>
        <v>7071551.9230932407</v>
      </c>
      <c r="L244" s="630"/>
      <c r="M244" s="633" t="str">
        <f t="shared" si="32"/>
        <v>YES</v>
      </c>
      <c r="N244" s="633"/>
      <c r="O244" s="633"/>
    </row>
    <row r="245" spans="1:15" ht="20.149999999999999" customHeight="1" x14ac:dyDescent="0.35">
      <c r="A245" s="217" t="s">
        <v>361</v>
      </c>
      <c r="B245" s="19">
        <f t="shared" si="26"/>
        <v>219</v>
      </c>
      <c r="C245" s="634">
        <f t="shared" si="27"/>
        <v>48277.357016687281</v>
      </c>
      <c r="D245" s="631"/>
      <c r="E245" s="617">
        <f t="shared" si="28"/>
        <v>31568.540005899678</v>
      </c>
      <c r="F245" s="617"/>
      <c r="G245" s="630">
        <f t="shared" si="29"/>
        <v>16708.817010787603</v>
      </c>
      <c r="H245" s="630"/>
      <c r="I245" s="617">
        <f t="shared" si="30"/>
        <v>4192429.8504425031</v>
      </c>
      <c r="J245" s="617"/>
      <c r="K245" s="630">
        <f t="shared" si="31"/>
        <v>7148467.3141469834</v>
      </c>
      <c r="L245" s="630"/>
      <c r="M245" s="633" t="str">
        <f t="shared" si="32"/>
        <v>YES</v>
      </c>
      <c r="N245" s="633"/>
      <c r="O245" s="633"/>
    </row>
    <row r="246" spans="1:15" ht="20.149999999999999" customHeight="1" x14ac:dyDescent="0.35">
      <c r="A246" s="217" t="s">
        <v>360</v>
      </c>
      <c r="B246" s="19">
        <f t="shared" si="26"/>
        <v>220</v>
      </c>
      <c r="C246" s="634">
        <f t="shared" si="27"/>
        <v>48277.357016687281</v>
      </c>
      <c r="D246" s="631"/>
      <c r="E246" s="617">
        <f t="shared" si="28"/>
        <v>31443.223878318775</v>
      </c>
      <c r="F246" s="617"/>
      <c r="G246" s="630">
        <f t="shared" si="29"/>
        <v>16834.133138368506</v>
      </c>
      <c r="H246" s="630"/>
      <c r="I246" s="617">
        <f t="shared" si="30"/>
        <v>4175595.7173041347</v>
      </c>
      <c r="J246" s="617"/>
      <c r="K246" s="630">
        <f t="shared" si="31"/>
        <v>7226112.5394199174</v>
      </c>
      <c r="L246" s="630"/>
      <c r="M246" s="633" t="str">
        <f t="shared" si="32"/>
        <v>YES</v>
      </c>
      <c r="N246" s="633"/>
      <c r="O246" s="633"/>
    </row>
    <row r="247" spans="1:15" ht="20.149999999999999" customHeight="1" x14ac:dyDescent="0.35">
      <c r="A247" s="217" t="s">
        <v>361</v>
      </c>
      <c r="B247" s="19">
        <f t="shared" si="26"/>
        <v>221</v>
      </c>
      <c r="C247" s="634">
        <f t="shared" si="27"/>
        <v>48277.357016687281</v>
      </c>
      <c r="D247" s="631"/>
      <c r="E247" s="617">
        <f t="shared" si="28"/>
        <v>31316.967879781008</v>
      </c>
      <c r="F247" s="617"/>
      <c r="G247" s="630">
        <f t="shared" si="29"/>
        <v>16960.389136906273</v>
      </c>
      <c r="H247" s="630"/>
      <c r="I247" s="617">
        <f t="shared" si="30"/>
        <v>4158635.3281672285</v>
      </c>
      <c r="J247" s="617"/>
      <c r="K247" s="630">
        <f t="shared" si="31"/>
        <v>7304494.5241578249</v>
      </c>
      <c r="L247" s="630"/>
      <c r="M247" s="633" t="str">
        <f t="shared" si="32"/>
        <v>YES</v>
      </c>
      <c r="N247" s="633"/>
      <c r="O247" s="633"/>
    </row>
    <row r="248" spans="1:15" ht="20.149999999999999" customHeight="1" x14ac:dyDescent="0.35">
      <c r="A248" s="217" t="s">
        <v>360</v>
      </c>
      <c r="B248" s="19">
        <f t="shared" si="26"/>
        <v>222</v>
      </c>
      <c r="C248" s="634">
        <f t="shared" si="27"/>
        <v>48277.357016687281</v>
      </c>
      <c r="D248" s="631"/>
      <c r="E248" s="617">
        <f t="shared" si="28"/>
        <v>31189.764961254212</v>
      </c>
      <c r="F248" s="617"/>
      <c r="G248" s="630">
        <f t="shared" si="29"/>
        <v>17087.59205543307</v>
      </c>
      <c r="H248" s="630"/>
      <c r="I248" s="617">
        <f t="shared" si="30"/>
        <v>4141547.7361117955</v>
      </c>
      <c r="J248" s="617"/>
      <c r="K248" s="630">
        <f t="shared" si="31"/>
        <v>7383620.2593187122</v>
      </c>
      <c r="L248" s="630"/>
      <c r="M248" s="633" t="str">
        <f t="shared" si="32"/>
        <v>YES</v>
      </c>
      <c r="N248" s="633"/>
      <c r="O248" s="633"/>
    </row>
    <row r="249" spans="1:15" ht="20.149999999999999" customHeight="1" x14ac:dyDescent="0.35">
      <c r="A249" s="217" t="s">
        <v>361</v>
      </c>
      <c r="B249" s="19">
        <f t="shared" si="26"/>
        <v>223</v>
      </c>
      <c r="C249" s="634">
        <f t="shared" si="27"/>
        <v>48277.357016687281</v>
      </c>
      <c r="D249" s="631"/>
      <c r="E249" s="617">
        <f t="shared" si="28"/>
        <v>31061.608020838466</v>
      </c>
      <c r="F249" s="617"/>
      <c r="G249" s="630">
        <f t="shared" si="29"/>
        <v>17215.748995848815</v>
      </c>
      <c r="H249" s="630"/>
      <c r="I249" s="617">
        <f t="shared" si="30"/>
        <v>4124331.9871159466</v>
      </c>
      <c r="J249" s="617"/>
      <c r="K249" s="630">
        <f t="shared" si="31"/>
        <v>7463496.8021963378</v>
      </c>
      <c r="L249" s="630"/>
      <c r="M249" s="633" t="str">
        <f t="shared" si="32"/>
        <v>YES</v>
      </c>
      <c r="N249" s="633"/>
      <c r="O249" s="633"/>
    </row>
    <row r="250" spans="1:15" ht="20.149999999999999" customHeight="1" x14ac:dyDescent="0.35">
      <c r="A250" s="217" t="s">
        <v>360</v>
      </c>
      <c r="B250" s="19">
        <f t="shared" si="26"/>
        <v>224</v>
      </c>
      <c r="C250" s="634">
        <f t="shared" si="27"/>
        <v>48277.357016687281</v>
      </c>
      <c r="D250" s="631"/>
      <c r="E250" s="617">
        <f t="shared" si="28"/>
        <v>30932.489903369598</v>
      </c>
      <c r="F250" s="617"/>
      <c r="G250" s="630">
        <f t="shared" si="29"/>
        <v>17344.867113317683</v>
      </c>
      <c r="H250" s="630"/>
      <c r="I250" s="617">
        <f t="shared" si="30"/>
        <v>4106987.1200026288</v>
      </c>
      <c r="J250" s="617"/>
      <c r="K250" s="630">
        <f t="shared" si="31"/>
        <v>7544131.2770496598</v>
      </c>
      <c r="L250" s="630"/>
      <c r="M250" s="633" t="str">
        <f t="shared" si="32"/>
        <v>YES</v>
      </c>
      <c r="N250" s="633"/>
      <c r="O250" s="633"/>
    </row>
    <row r="251" spans="1:15" ht="20.149999999999999" customHeight="1" x14ac:dyDescent="0.35">
      <c r="A251" s="217" t="s">
        <v>361</v>
      </c>
      <c r="B251" s="19">
        <f t="shared" si="26"/>
        <v>225</v>
      </c>
      <c r="C251" s="634">
        <f t="shared" si="27"/>
        <v>48277.357016687281</v>
      </c>
      <c r="D251" s="631"/>
      <c r="E251" s="617">
        <f t="shared" si="28"/>
        <v>30802.403400019713</v>
      </c>
      <c r="F251" s="617"/>
      <c r="G251" s="630">
        <f t="shared" si="29"/>
        <v>17474.953616667568</v>
      </c>
      <c r="H251" s="630"/>
      <c r="I251" s="617">
        <f t="shared" si="30"/>
        <v>4089512.1663859612</v>
      </c>
      <c r="J251" s="617"/>
      <c r="K251" s="630">
        <f t="shared" si="31"/>
        <v>7625530.8757382538</v>
      </c>
      <c r="L251" s="630"/>
      <c r="M251" s="633" t="str">
        <f t="shared" si="32"/>
        <v>YES</v>
      </c>
      <c r="N251" s="633"/>
      <c r="O251" s="633"/>
    </row>
    <row r="252" spans="1:15" ht="20.149999999999999" customHeight="1" x14ac:dyDescent="0.35">
      <c r="A252" s="217" t="s">
        <v>360</v>
      </c>
      <c r="B252" s="19">
        <f t="shared" si="26"/>
        <v>226</v>
      </c>
      <c r="C252" s="634">
        <f t="shared" si="27"/>
        <v>48277.357016687281</v>
      </c>
      <c r="D252" s="631"/>
      <c r="E252" s="617">
        <f t="shared" si="28"/>
        <v>30671.34124789471</v>
      </c>
      <c r="F252" s="617"/>
      <c r="G252" s="630">
        <f t="shared" si="29"/>
        <v>17606.015768792571</v>
      </c>
      <c r="H252" s="630"/>
      <c r="I252" s="617">
        <f t="shared" si="30"/>
        <v>4071906.1506171688</v>
      </c>
      <c r="J252" s="617"/>
      <c r="K252" s="630">
        <f t="shared" si="31"/>
        <v>7707702.8583637616</v>
      </c>
      <c r="L252" s="630"/>
      <c r="M252" s="633" t="str">
        <f t="shared" si="32"/>
        <v>YES</v>
      </c>
      <c r="N252" s="633"/>
      <c r="O252" s="633"/>
    </row>
    <row r="253" spans="1:15" ht="20.149999999999999" customHeight="1" x14ac:dyDescent="0.35">
      <c r="A253" s="217" t="s">
        <v>361</v>
      </c>
      <c r="B253" s="19">
        <f t="shared" si="26"/>
        <v>227</v>
      </c>
      <c r="C253" s="634">
        <f t="shared" si="27"/>
        <v>48277.357016687281</v>
      </c>
      <c r="D253" s="631"/>
      <c r="E253" s="617">
        <f t="shared" si="28"/>
        <v>30539.296129628765</v>
      </c>
      <c r="F253" s="617"/>
      <c r="G253" s="630">
        <f t="shared" si="29"/>
        <v>17738.060887058517</v>
      </c>
      <c r="H253" s="630"/>
      <c r="I253" s="617">
        <f t="shared" si="30"/>
        <v>4054168.08973011</v>
      </c>
      <c r="J253" s="617"/>
      <c r="K253" s="630">
        <f t="shared" si="31"/>
        <v>7790654.5539174275</v>
      </c>
      <c r="L253" s="630"/>
      <c r="M253" s="633" t="str">
        <f t="shared" si="32"/>
        <v>YES</v>
      </c>
      <c r="N253" s="633"/>
      <c r="O253" s="633"/>
    </row>
    <row r="254" spans="1:15" ht="20.149999999999999" customHeight="1" x14ac:dyDescent="0.35">
      <c r="A254" s="217" t="s">
        <v>360</v>
      </c>
      <c r="B254" s="19">
        <f t="shared" si="26"/>
        <v>228</v>
      </c>
      <c r="C254" s="634">
        <f t="shared" si="27"/>
        <v>48277.357016687281</v>
      </c>
      <c r="D254" s="631"/>
      <c r="E254" s="617">
        <f t="shared" si="28"/>
        <v>30406.260672975826</v>
      </c>
      <c r="F254" s="617"/>
      <c r="G254" s="630">
        <f t="shared" si="29"/>
        <v>17871.096343711455</v>
      </c>
      <c r="H254" s="630"/>
      <c r="I254" s="617">
        <f t="shared" si="30"/>
        <v>4036296.9933863985</v>
      </c>
      <c r="J254" s="617"/>
      <c r="K254" s="630">
        <f t="shared" si="31"/>
        <v>7874393.3609337742</v>
      </c>
      <c r="L254" s="630"/>
      <c r="M254" s="633" t="str">
        <f t="shared" si="32"/>
        <v>YES</v>
      </c>
      <c r="N254" s="633"/>
      <c r="O254" s="633"/>
    </row>
    <row r="255" spans="1:15" ht="20.149999999999999" customHeight="1" x14ac:dyDescent="0.35">
      <c r="A255" s="217" t="s">
        <v>361</v>
      </c>
      <c r="B255" s="19">
        <f t="shared" si="26"/>
        <v>229</v>
      </c>
      <c r="C255" s="634">
        <f t="shared" si="27"/>
        <v>48277.357016687281</v>
      </c>
      <c r="D255" s="631"/>
      <c r="E255" s="617">
        <f t="shared" si="28"/>
        <v>30272.227450397986</v>
      </c>
      <c r="F255" s="617"/>
      <c r="G255" s="630">
        <f t="shared" si="29"/>
        <v>18005.129566289295</v>
      </c>
      <c r="H255" s="630"/>
      <c r="I255" s="617">
        <f t="shared" si="30"/>
        <v>4018291.8638201091</v>
      </c>
      <c r="J255" s="617"/>
      <c r="K255" s="630">
        <f t="shared" si="31"/>
        <v>7958926.7481504884</v>
      </c>
      <c r="L255" s="630"/>
      <c r="M255" s="633" t="str">
        <f t="shared" si="32"/>
        <v>YES</v>
      </c>
      <c r="N255" s="633"/>
      <c r="O255" s="633"/>
    </row>
    <row r="256" spans="1:15" ht="20.149999999999999" customHeight="1" x14ac:dyDescent="0.35">
      <c r="A256" s="217" t="s">
        <v>360</v>
      </c>
      <c r="B256" s="19">
        <f t="shared" si="26"/>
        <v>230</v>
      </c>
      <c r="C256" s="634">
        <f t="shared" si="27"/>
        <v>48277.357016687281</v>
      </c>
      <c r="D256" s="631"/>
      <c r="E256" s="617">
        <f t="shared" si="28"/>
        <v>30137.188978650815</v>
      </c>
      <c r="F256" s="617"/>
      <c r="G256" s="630">
        <f t="shared" si="29"/>
        <v>18140.168038036467</v>
      </c>
      <c r="H256" s="630"/>
      <c r="I256" s="617">
        <f t="shared" si="30"/>
        <v>4000151.6957820724</v>
      </c>
      <c r="J256" s="617"/>
      <c r="K256" s="630">
        <f t="shared" si="31"/>
        <v>8044262.2551745605</v>
      </c>
      <c r="L256" s="630"/>
      <c r="M256" s="633" t="str">
        <f t="shared" si="32"/>
        <v>YES</v>
      </c>
      <c r="N256" s="633"/>
      <c r="O256" s="633"/>
    </row>
    <row r="257" spans="1:15" ht="20.149999999999999" customHeight="1" x14ac:dyDescent="0.35">
      <c r="A257" s="217" t="s">
        <v>361</v>
      </c>
      <c r="B257" s="19">
        <f t="shared" si="26"/>
        <v>231</v>
      </c>
      <c r="C257" s="634">
        <f t="shared" si="27"/>
        <v>48277.357016687281</v>
      </c>
      <c r="D257" s="631"/>
      <c r="E257" s="617">
        <f t="shared" si="28"/>
        <v>30001.137718365542</v>
      </c>
      <c r="F257" s="617"/>
      <c r="G257" s="630">
        <f t="shared" si="29"/>
        <v>18276.219298321739</v>
      </c>
      <c r="H257" s="630"/>
      <c r="I257" s="617">
        <f t="shared" si="30"/>
        <v>3981875.4764837506</v>
      </c>
      <c r="J257" s="617"/>
      <c r="K257" s="630">
        <f t="shared" si="31"/>
        <v>8130407.4931547521</v>
      </c>
      <c r="L257" s="630"/>
      <c r="M257" s="633" t="str">
        <f t="shared" si="32"/>
        <v>YES</v>
      </c>
      <c r="N257" s="633"/>
      <c r="O257" s="633"/>
    </row>
    <row r="258" spans="1:15" ht="20.149999999999999" customHeight="1" x14ac:dyDescent="0.35">
      <c r="A258" s="217" t="s">
        <v>360</v>
      </c>
      <c r="B258" s="19">
        <f t="shared" si="26"/>
        <v>232</v>
      </c>
      <c r="C258" s="634">
        <f t="shared" si="27"/>
        <v>48277.357016687281</v>
      </c>
      <c r="D258" s="631"/>
      <c r="E258" s="617">
        <f t="shared" si="28"/>
        <v>29864.066073628128</v>
      </c>
      <c r="F258" s="617"/>
      <c r="G258" s="630">
        <f t="shared" si="29"/>
        <v>18413.290943059154</v>
      </c>
      <c r="H258" s="630"/>
      <c r="I258" s="617">
        <f t="shared" si="30"/>
        <v>3963462.1855406915</v>
      </c>
      <c r="J258" s="617"/>
      <c r="K258" s="630">
        <f t="shared" si="31"/>
        <v>8217370.145460438</v>
      </c>
      <c r="L258" s="630"/>
      <c r="M258" s="633" t="str">
        <f t="shared" si="32"/>
        <v>YES</v>
      </c>
      <c r="N258" s="633"/>
      <c r="O258" s="633"/>
    </row>
    <row r="259" spans="1:15" ht="20.149999999999999" customHeight="1" x14ac:dyDescent="0.35">
      <c r="A259" s="217" t="s">
        <v>361</v>
      </c>
      <c r="B259" s="19">
        <f t="shared" si="26"/>
        <v>233</v>
      </c>
      <c r="C259" s="634">
        <f t="shared" si="27"/>
        <v>48277.357016687281</v>
      </c>
      <c r="D259" s="631"/>
      <c r="E259" s="617">
        <f t="shared" si="28"/>
        <v>29725.966391555183</v>
      </c>
      <c r="F259" s="617"/>
      <c r="G259" s="630">
        <f t="shared" si="29"/>
        <v>18551.390625132099</v>
      </c>
      <c r="H259" s="630"/>
      <c r="I259" s="617">
        <f t="shared" si="30"/>
        <v>3944910.7949155592</v>
      </c>
      <c r="J259" s="617"/>
      <c r="K259" s="630">
        <f t="shared" si="31"/>
        <v>8305157.9683668949</v>
      </c>
      <c r="L259" s="630"/>
      <c r="M259" s="633" t="str">
        <f t="shared" si="32"/>
        <v>YES</v>
      </c>
      <c r="N259" s="633"/>
      <c r="O259" s="633"/>
    </row>
    <row r="260" spans="1:15" ht="20.149999999999999" customHeight="1" x14ac:dyDescent="0.35">
      <c r="A260" s="217" t="s">
        <v>360</v>
      </c>
      <c r="B260" s="19">
        <f t="shared" si="26"/>
        <v>234</v>
      </c>
      <c r="C260" s="634">
        <f t="shared" si="27"/>
        <v>48277.357016687281</v>
      </c>
      <c r="D260" s="631"/>
      <c r="E260" s="617">
        <f t="shared" si="28"/>
        <v>29586.830961866694</v>
      </c>
      <c r="F260" s="617"/>
      <c r="G260" s="630">
        <f t="shared" si="29"/>
        <v>18690.526054820588</v>
      </c>
      <c r="H260" s="630"/>
      <c r="I260" s="617">
        <f t="shared" si="30"/>
        <v>3926220.2688607387</v>
      </c>
      <c r="J260" s="617"/>
      <c r="K260" s="630">
        <f t="shared" si="31"/>
        <v>8393778.7917470895</v>
      </c>
      <c r="L260" s="630"/>
      <c r="M260" s="633" t="str">
        <f t="shared" si="32"/>
        <v>YES</v>
      </c>
      <c r="N260" s="633"/>
      <c r="O260" s="633"/>
    </row>
    <row r="261" spans="1:15" ht="20.149999999999999" customHeight="1" x14ac:dyDescent="0.35">
      <c r="A261" s="217" t="s">
        <v>361</v>
      </c>
      <c r="B261" s="19">
        <f t="shared" si="26"/>
        <v>235</v>
      </c>
      <c r="C261" s="634">
        <f t="shared" si="27"/>
        <v>48277.357016687281</v>
      </c>
      <c r="D261" s="631"/>
      <c r="E261" s="617">
        <f t="shared" si="28"/>
        <v>29446.65201645554</v>
      </c>
      <c r="F261" s="617"/>
      <c r="G261" s="630">
        <f t="shared" si="29"/>
        <v>18830.705000231741</v>
      </c>
      <c r="H261" s="630"/>
      <c r="I261" s="617">
        <f t="shared" si="30"/>
        <v>3907389.5638605068</v>
      </c>
      <c r="J261" s="617"/>
      <c r="K261" s="630">
        <f t="shared" si="31"/>
        <v>8483240.5197700318</v>
      </c>
      <c r="L261" s="630"/>
      <c r="M261" s="633" t="str">
        <f t="shared" si="32"/>
        <v>YES</v>
      </c>
      <c r="N261" s="633"/>
      <c r="O261" s="633"/>
    </row>
    <row r="262" spans="1:15" ht="20.149999999999999" customHeight="1" x14ac:dyDescent="0.35">
      <c r="A262" s="217" t="s">
        <v>360</v>
      </c>
      <c r="B262" s="19">
        <f t="shared" si="26"/>
        <v>236</v>
      </c>
      <c r="C262" s="634">
        <f t="shared" si="27"/>
        <v>48277.357016687281</v>
      </c>
      <c r="D262" s="631"/>
      <c r="E262" s="617">
        <f t="shared" si="28"/>
        <v>29305.421728953803</v>
      </c>
      <c r="F262" s="617"/>
      <c r="G262" s="630">
        <f t="shared" si="29"/>
        <v>18971.935287733479</v>
      </c>
      <c r="H262" s="630"/>
      <c r="I262" s="617">
        <f t="shared" si="30"/>
        <v>3888417.6285727732</v>
      </c>
      <c r="J262" s="617"/>
      <c r="K262" s="630">
        <f t="shared" si="31"/>
        <v>8573551.1316057537</v>
      </c>
      <c r="L262" s="630"/>
      <c r="M262" s="633" t="str">
        <f t="shared" si="32"/>
        <v>YES</v>
      </c>
      <c r="N262" s="633"/>
      <c r="O262" s="633"/>
    </row>
    <row r="263" spans="1:15" ht="20.149999999999999" customHeight="1" x14ac:dyDescent="0.35">
      <c r="A263" s="217" t="s">
        <v>361</v>
      </c>
      <c r="B263" s="19">
        <f t="shared" si="26"/>
        <v>237</v>
      </c>
      <c r="C263" s="634">
        <f t="shared" si="27"/>
        <v>48277.357016687281</v>
      </c>
      <c r="D263" s="631"/>
      <c r="E263" s="617">
        <f t="shared" si="28"/>
        <v>29163.132214295798</v>
      </c>
      <c r="F263" s="617"/>
      <c r="G263" s="630">
        <f t="shared" si="29"/>
        <v>19114.224802391484</v>
      </c>
      <c r="H263" s="630"/>
      <c r="I263" s="617">
        <f t="shared" si="30"/>
        <v>3869303.4037703816</v>
      </c>
      <c r="J263" s="617"/>
      <c r="K263" s="630">
        <f t="shared" si="31"/>
        <v>8664718.682136979</v>
      </c>
      <c r="L263" s="630"/>
      <c r="M263" s="633" t="str">
        <f t="shared" si="32"/>
        <v>YES</v>
      </c>
      <c r="N263" s="633"/>
      <c r="O263" s="633"/>
    </row>
    <row r="264" spans="1:15" ht="20.149999999999999" customHeight="1" x14ac:dyDescent="0.35">
      <c r="A264" s="217" t="s">
        <v>360</v>
      </c>
      <c r="B264" s="19">
        <f t="shared" si="26"/>
        <v>238</v>
      </c>
      <c r="C264" s="634">
        <f t="shared" si="27"/>
        <v>48277.357016687281</v>
      </c>
      <c r="D264" s="631"/>
      <c r="E264" s="617">
        <f t="shared" si="28"/>
        <v>29019.775528277863</v>
      </c>
      <c r="F264" s="617"/>
      <c r="G264" s="630">
        <f t="shared" si="29"/>
        <v>19257.581488409418</v>
      </c>
      <c r="H264" s="630"/>
      <c r="I264" s="617">
        <f t="shared" si="30"/>
        <v>3850045.822281972</v>
      </c>
      <c r="J264" s="617"/>
      <c r="K264" s="630">
        <f t="shared" si="31"/>
        <v>8756751.3026775494</v>
      </c>
      <c r="L264" s="630"/>
      <c r="M264" s="633" t="str">
        <f t="shared" si="32"/>
        <v>YES</v>
      </c>
      <c r="N264" s="633"/>
      <c r="O264" s="633"/>
    </row>
    <row r="265" spans="1:15" ht="20.149999999999999" customHeight="1" x14ac:dyDescent="0.35">
      <c r="A265" s="217" t="s">
        <v>361</v>
      </c>
      <c r="B265" s="19">
        <f t="shared" si="26"/>
        <v>239</v>
      </c>
      <c r="C265" s="634">
        <f t="shared" si="27"/>
        <v>48277.357016687281</v>
      </c>
      <c r="D265" s="631"/>
      <c r="E265" s="617">
        <f t="shared" si="28"/>
        <v>28875.34366711479</v>
      </c>
      <c r="F265" s="617"/>
      <c r="G265" s="630">
        <f t="shared" si="29"/>
        <v>19402.013349572491</v>
      </c>
      <c r="H265" s="630"/>
      <c r="I265" s="617">
        <f t="shared" si="30"/>
        <v>3830643.8089323994</v>
      </c>
      <c r="J265" s="617"/>
      <c r="K265" s="630">
        <f t="shared" si="31"/>
        <v>8849657.2016976569</v>
      </c>
      <c r="L265" s="630"/>
      <c r="M265" s="633" t="str">
        <f t="shared" si="32"/>
        <v>YES</v>
      </c>
      <c r="N265" s="633"/>
      <c r="O265" s="633"/>
    </row>
    <row r="266" spans="1:15" ht="20.149999999999999" customHeight="1" x14ac:dyDescent="0.35">
      <c r="A266" s="217" t="s">
        <v>360</v>
      </c>
      <c r="B266" s="19">
        <f t="shared" si="26"/>
        <v>240</v>
      </c>
      <c r="C266" s="634">
        <f t="shared" si="27"/>
        <v>48277.357016687281</v>
      </c>
      <c r="D266" s="631"/>
      <c r="E266" s="617">
        <f t="shared" si="28"/>
        <v>28729.828566992994</v>
      </c>
      <c r="F266" s="617"/>
      <c r="G266" s="630">
        <f t="shared" si="29"/>
        <v>19547.528449694288</v>
      </c>
      <c r="H266" s="630"/>
      <c r="I266" s="617">
        <f t="shared" si="30"/>
        <v>3811096.2804827052</v>
      </c>
      <c r="J266" s="617"/>
      <c r="K266" s="630">
        <f t="shared" si="31"/>
        <v>8943444.665555967</v>
      </c>
      <c r="L266" s="630"/>
      <c r="M266" s="633" t="str">
        <f t="shared" si="32"/>
        <v>YES</v>
      </c>
      <c r="N266" s="633"/>
      <c r="O266" s="633"/>
    </row>
    <row r="267" spans="1:15" ht="20.149999999999999" customHeight="1" x14ac:dyDescent="0.35">
      <c r="A267" s="217" t="s">
        <v>361</v>
      </c>
      <c r="B267" s="19">
        <f t="shared" si="26"/>
        <v>241</v>
      </c>
      <c r="C267" s="634">
        <f t="shared" si="27"/>
        <v>48277.357016687281</v>
      </c>
      <c r="D267" s="631"/>
      <c r="E267" s="617">
        <f t="shared" si="28"/>
        <v>28583.222103620286</v>
      </c>
      <c r="F267" s="617"/>
      <c r="G267" s="630">
        <f t="shared" si="29"/>
        <v>19694.134913066995</v>
      </c>
      <c r="H267" s="630"/>
      <c r="I267" s="617">
        <f t="shared" si="30"/>
        <v>3791402.1455696383</v>
      </c>
      <c r="J267" s="617"/>
      <c r="K267" s="630">
        <f t="shared" si="31"/>
        <v>9038122.0592386872</v>
      </c>
      <c r="L267" s="630"/>
      <c r="M267" s="633" t="str">
        <f t="shared" si="32"/>
        <v>YES</v>
      </c>
      <c r="N267" s="633"/>
      <c r="O267" s="633"/>
    </row>
    <row r="268" spans="1:15" ht="20.149999999999999" customHeight="1" x14ac:dyDescent="0.35">
      <c r="A268" s="217" t="s">
        <v>360</v>
      </c>
      <c r="B268" s="19">
        <f t="shared" si="26"/>
        <v>242</v>
      </c>
      <c r="C268" s="634">
        <f t="shared" si="27"/>
        <v>48277.357016687281</v>
      </c>
      <c r="D268" s="631"/>
      <c r="E268" s="617">
        <f t="shared" si="28"/>
        <v>28435.516091772286</v>
      </c>
      <c r="F268" s="617"/>
      <c r="G268" s="630">
        <f t="shared" si="29"/>
        <v>19841.840924914995</v>
      </c>
      <c r="H268" s="630"/>
      <c r="I268" s="617">
        <f t="shared" si="30"/>
        <v>3771560.3046447234</v>
      </c>
      <c r="J268" s="617"/>
      <c r="K268" s="630">
        <f t="shared" si="31"/>
        <v>9133697.8271056488</v>
      </c>
      <c r="L268" s="630"/>
      <c r="M268" s="633" t="str">
        <f t="shared" si="32"/>
        <v>YES</v>
      </c>
      <c r="N268" s="633"/>
      <c r="O268" s="633"/>
    </row>
    <row r="269" spans="1:15" ht="20.149999999999999" customHeight="1" x14ac:dyDescent="0.35">
      <c r="A269" s="217" t="s">
        <v>361</v>
      </c>
      <c r="B269" s="19">
        <f t="shared" si="26"/>
        <v>243</v>
      </c>
      <c r="C269" s="634">
        <f t="shared" si="27"/>
        <v>48277.357016687281</v>
      </c>
      <c r="D269" s="631"/>
      <c r="E269" s="617">
        <f t="shared" si="28"/>
        <v>28286.702284835425</v>
      </c>
      <c r="F269" s="617"/>
      <c r="G269" s="630">
        <f t="shared" si="29"/>
        <v>19990.654731851857</v>
      </c>
      <c r="H269" s="630"/>
      <c r="I269" s="617">
        <f t="shared" si="30"/>
        <v>3751569.6499128714</v>
      </c>
      <c r="J269" s="617"/>
      <c r="K269" s="630">
        <f t="shared" si="31"/>
        <v>9230180.4936434645</v>
      </c>
      <c r="L269" s="630"/>
      <c r="M269" s="633" t="str">
        <f t="shared" si="32"/>
        <v>YES</v>
      </c>
      <c r="N269" s="633"/>
      <c r="O269" s="633"/>
    </row>
    <row r="270" spans="1:15" ht="20.149999999999999" customHeight="1" x14ac:dyDescent="0.35">
      <c r="A270" s="217" t="s">
        <v>360</v>
      </c>
      <c r="B270" s="19">
        <f t="shared" si="26"/>
        <v>244</v>
      </c>
      <c r="C270" s="634">
        <f t="shared" si="27"/>
        <v>48277.357016687281</v>
      </c>
      <c r="D270" s="631"/>
      <c r="E270" s="617">
        <f t="shared" si="28"/>
        <v>28136.772374346536</v>
      </c>
      <c r="F270" s="617"/>
      <c r="G270" s="630">
        <f t="shared" si="29"/>
        <v>20140.584642340746</v>
      </c>
      <c r="H270" s="630"/>
      <c r="I270" s="617">
        <f t="shared" si="30"/>
        <v>3731429.0652705305</v>
      </c>
      <c r="J270" s="617"/>
      <c r="K270" s="630">
        <f t="shared" si="31"/>
        <v>9327578.6642258335</v>
      </c>
      <c r="L270" s="630"/>
      <c r="M270" s="633" t="str">
        <f t="shared" si="32"/>
        <v>YES</v>
      </c>
      <c r="N270" s="633"/>
      <c r="O270" s="633"/>
    </row>
    <row r="271" spans="1:15" ht="20.149999999999999" customHeight="1" x14ac:dyDescent="0.35">
      <c r="A271" s="217" t="s">
        <v>361</v>
      </c>
      <c r="B271" s="19">
        <f t="shared" si="26"/>
        <v>245</v>
      </c>
      <c r="C271" s="634">
        <f t="shared" si="27"/>
        <v>48277.357016687281</v>
      </c>
      <c r="D271" s="631"/>
      <c r="E271" s="617">
        <f t="shared" si="28"/>
        <v>27985.717989528977</v>
      </c>
      <c r="F271" s="617"/>
      <c r="G271" s="630">
        <f t="shared" si="29"/>
        <v>20291.639027158304</v>
      </c>
      <c r="H271" s="630"/>
      <c r="I271" s="617">
        <f t="shared" si="30"/>
        <v>3711137.4262433723</v>
      </c>
      <c r="J271" s="617"/>
      <c r="K271" s="630">
        <f t="shared" si="31"/>
        <v>9425901.0258810669</v>
      </c>
      <c r="L271" s="630"/>
      <c r="M271" s="633" t="str">
        <f t="shared" si="32"/>
        <v>YES</v>
      </c>
      <c r="N271" s="633"/>
      <c r="O271" s="633"/>
    </row>
    <row r="272" spans="1:15" ht="20.149999999999999" customHeight="1" x14ac:dyDescent="0.35">
      <c r="A272" s="217" t="s">
        <v>360</v>
      </c>
      <c r="B272" s="19">
        <f t="shared" si="26"/>
        <v>246</v>
      </c>
      <c r="C272" s="634">
        <f t="shared" si="27"/>
        <v>48277.357016687281</v>
      </c>
      <c r="D272" s="631"/>
      <c r="E272" s="617">
        <f t="shared" si="28"/>
        <v>27833.530696825288</v>
      </c>
      <c r="F272" s="617"/>
      <c r="G272" s="630">
        <f t="shared" si="29"/>
        <v>20443.826319861993</v>
      </c>
      <c r="H272" s="630"/>
      <c r="I272" s="617">
        <f t="shared" si="30"/>
        <v>3690693.5999235101</v>
      </c>
      <c r="J272" s="617"/>
      <c r="K272" s="630">
        <f t="shared" si="31"/>
        <v>9525156.348066885</v>
      </c>
      <c r="L272" s="630"/>
      <c r="M272" s="633" t="str">
        <f t="shared" si="32"/>
        <v>YES</v>
      </c>
      <c r="N272" s="633"/>
      <c r="O272" s="633"/>
    </row>
    <row r="273" spans="1:15" ht="20.149999999999999" customHeight="1" x14ac:dyDescent="0.35">
      <c r="A273" s="217" t="s">
        <v>361</v>
      </c>
      <c r="B273" s="19">
        <f t="shared" si="26"/>
        <v>247</v>
      </c>
      <c r="C273" s="634">
        <f t="shared" si="27"/>
        <v>48277.357016687281</v>
      </c>
      <c r="D273" s="631"/>
      <c r="E273" s="617">
        <f t="shared" si="28"/>
        <v>27680.201999426325</v>
      </c>
      <c r="F273" s="617"/>
      <c r="G273" s="630">
        <f t="shared" si="29"/>
        <v>20597.155017260957</v>
      </c>
      <c r="H273" s="630"/>
      <c r="I273" s="617">
        <f t="shared" si="30"/>
        <v>3670096.4449062492</v>
      </c>
      <c r="J273" s="617"/>
      <c r="K273" s="630">
        <f t="shared" si="31"/>
        <v>9625353.4834525809</v>
      </c>
      <c r="L273" s="630"/>
      <c r="M273" s="633" t="str">
        <f t="shared" si="32"/>
        <v>YES</v>
      </c>
      <c r="N273" s="633"/>
      <c r="O273" s="633"/>
    </row>
    <row r="274" spans="1:15" ht="20.149999999999999" customHeight="1" x14ac:dyDescent="0.35">
      <c r="A274" s="217" t="s">
        <v>360</v>
      </c>
      <c r="B274" s="19">
        <f t="shared" si="26"/>
        <v>248</v>
      </c>
      <c r="C274" s="634">
        <f t="shared" si="27"/>
        <v>48277.357016687281</v>
      </c>
      <c r="D274" s="631"/>
      <c r="E274" s="617">
        <f t="shared" si="28"/>
        <v>27525.723336796869</v>
      </c>
      <c r="F274" s="617"/>
      <c r="G274" s="630">
        <f t="shared" si="29"/>
        <v>20751.633679890412</v>
      </c>
      <c r="H274" s="630"/>
      <c r="I274" s="617">
        <f t="shared" si="30"/>
        <v>3649344.8112263586</v>
      </c>
      <c r="J274" s="617"/>
      <c r="K274" s="630">
        <f t="shared" si="31"/>
        <v>9726501.3687085882</v>
      </c>
      <c r="L274" s="630"/>
      <c r="M274" s="633" t="str">
        <f t="shared" si="32"/>
        <v>YES</v>
      </c>
      <c r="N274" s="633"/>
      <c r="O274" s="633"/>
    </row>
    <row r="275" spans="1:15" ht="20.149999999999999" customHeight="1" x14ac:dyDescent="0.35">
      <c r="A275" s="217" t="s">
        <v>361</v>
      </c>
      <c r="B275" s="19">
        <f t="shared" si="26"/>
        <v>249</v>
      </c>
      <c r="C275" s="634">
        <f t="shared" si="27"/>
        <v>48277.357016687281</v>
      </c>
      <c r="D275" s="631"/>
      <c r="E275" s="617">
        <f t="shared" si="28"/>
        <v>27370.086084197686</v>
      </c>
      <c r="F275" s="617"/>
      <c r="G275" s="630">
        <f t="shared" si="29"/>
        <v>20907.270932489595</v>
      </c>
      <c r="H275" s="630"/>
      <c r="I275" s="617">
        <f t="shared" si="30"/>
        <v>3628437.5402938691</v>
      </c>
      <c r="J275" s="617"/>
      <c r="K275" s="630">
        <f t="shared" si="31"/>
        <v>9828609.0253035612</v>
      </c>
      <c r="L275" s="630"/>
      <c r="M275" s="633" t="str">
        <f t="shared" si="32"/>
        <v>YES</v>
      </c>
      <c r="N275" s="633"/>
      <c r="O275" s="633"/>
    </row>
    <row r="276" spans="1:15" ht="20.149999999999999" customHeight="1" x14ac:dyDescent="0.35">
      <c r="A276" s="217" t="s">
        <v>360</v>
      </c>
      <c r="B276" s="19">
        <f t="shared" si="26"/>
        <v>250</v>
      </c>
      <c r="C276" s="634">
        <f t="shared" si="27"/>
        <v>48277.357016687281</v>
      </c>
      <c r="D276" s="631"/>
      <c r="E276" s="617">
        <f t="shared" si="28"/>
        <v>27213.281552204018</v>
      </c>
      <c r="F276" s="617"/>
      <c r="G276" s="630">
        <f t="shared" si="29"/>
        <v>21064.075464483263</v>
      </c>
      <c r="H276" s="630"/>
      <c r="I276" s="617">
        <f t="shared" si="30"/>
        <v>3607373.4648293857</v>
      </c>
      <c r="J276" s="617"/>
      <c r="K276" s="630">
        <f t="shared" si="31"/>
        <v>9931685.5603090003</v>
      </c>
      <c r="L276" s="630"/>
      <c r="M276" s="633" t="str">
        <f t="shared" si="32"/>
        <v>YES</v>
      </c>
      <c r="N276" s="633"/>
      <c r="O276" s="633"/>
    </row>
    <row r="277" spans="1:15" ht="20.149999999999999" customHeight="1" x14ac:dyDescent="0.35">
      <c r="A277" s="217" t="s">
        <v>361</v>
      </c>
      <c r="B277" s="19">
        <f t="shared" si="26"/>
        <v>251</v>
      </c>
      <c r="C277" s="634">
        <f t="shared" si="27"/>
        <v>48277.357016687281</v>
      </c>
      <c r="D277" s="631"/>
      <c r="E277" s="617">
        <f t="shared" si="28"/>
        <v>27055.300986220391</v>
      </c>
      <c r="F277" s="617"/>
      <c r="G277" s="630">
        <f t="shared" si="29"/>
        <v>21222.056030466891</v>
      </c>
      <c r="H277" s="630"/>
      <c r="I277" s="617">
        <f t="shared" si="30"/>
        <v>3586151.4087989191</v>
      </c>
      <c r="J277" s="617"/>
      <c r="K277" s="630">
        <f t="shared" si="31"/>
        <v>10035740.16721152</v>
      </c>
      <c r="L277" s="630"/>
      <c r="M277" s="633" t="str">
        <f t="shared" si="32"/>
        <v>YES</v>
      </c>
      <c r="N277" s="633"/>
      <c r="O277" s="633"/>
    </row>
    <row r="278" spans="1:15" ht="20.149999999999999" customHeight="1" x14ac:dyDescent="0.35">
      <c r="A278" s="217" t="s">
        <v>360</v>
      </c>
      <c r="B278" s="19">
        <f t="shared" si="26"/>
        <v>252</v>
      </c>
      <c r="C278" s="634">
        <f t="shared" si="27"/>
        <v>48277.357016687281</v>
      </c>
      <c r="D278" s="631"/>
      <c r="E278" s="617">
        <f t="shared" si="28"/>
        <v>26896.135565991892</v>
      </c>
      <c r="F278" s="617"/>
      <c r="G278" s="630">
        <f t="shared" si="29"/>
        <v>21381.22145069539</v>
      </c>
      <c r="H278" s="630"/>
      <c r="I278" s="617">
        <f t="shared" si="30"/>
        <v>3564770.1873482238</v>
      </c>
      <c r="J278" s="617"/>
      <c r="K278" s="630">
        <f t="shared" si="31"/>
        <v>10140782.126732826</v>
      </c>
      <c r="L278" s="630"/>
      <c r="M278" s="633" t="str">
        <f t="shared" si="32"/>
        <v>YES</v>
      </c>
      <c r="N278" s="633"/>
      <c r="O278" s="633"/>
    </row>
    <row r="279" spans="1:15" ht="20.149999999999999" customHeight="1" x14ac:dyDescent="0.35">
      <c r="A279" s="217" t="s">
        <v>361</v>
      </c>
      <c r="B279" s="19">
        <f t="shared" si="26"/>
        <v>253</v>
      </c>
      <c r="C279" s="634">
        <f t="shared" si="27"/>
        <v>48277.357016687281</v>
      </c>
      <c r="D279" s="631"/>
      <c r="E279" s="617">
        <f t="shared" si="28"/>
        <v>26735.776405111679</v>
      </c>
      <c r="F279" s="617"/>
      <c r="G279" s="630">
        <f t="shared" si="29"/>
        <v>21541.580611575602</v>
      </c>
      <c r="H279" s="630"/>
      <c r="I279" s="617">
        <f t="shared" si="30"/>
        <v>3543228.6067366484</v>
      </c>
      <c r="J279" s="617"/>
      <c r="K279" s="630">
        <f t="shared" si="31"/>
        <v>10246820.807657475</v>
      </c>
      <c r="L279" s="630"/>
      <c r="M279" s="633" t="str">
        <f t="shared" si="32"/>
        <v>YES</v>
      </c>
      <c r="N279" s="633"/>
      <c r="O279" s="633"/>
    </row>
    <row r="280" spans="1:15" ht="20.149999999999999" customHeight="1" x14ac:dyDescent="0.35">
      <c r="A280" s="217" t="s">
        <v>360</v>
      </c>
      <c r="B280" s="19">
        <f t="shared" si="26"/>
        <v>254</v>
      </c>
      <c r="C280" s="634">
        <f t="shared" si="27"/>
        <v>48277.357016687281</v>
      </c>
      <c r="D280" s="631"/>
      <c r="E280" s="617">
        <f t="shared" si="28"/>
        <v>26574.214550524863</v>
      </c>
      <c r="F280" s="617"/>
      <c r="G280" s="630">
        <f t="shared" si="29"/>
        <v>21703.142466162419</v>
      </c>
      <c r="H280" s="630"/>
      <c r="I280" s="617">
        <f t="shared" si="30"/>
        <v>3521525.464270486</v>
      </c>
      <c r="J280" s="617"/>
      <c r="K280" s="630">
        <f t="shared" si="31"/>
        <v>10353865.667668473</v>
      </c>
      <c r="L280" s="630"/>
      <c r="M280" s="633" t="str">
        <f t="shared" si="32"/>
        <v>YES</v>
      </c>
      <c r="N280" s="633"/>
      <c r="O280" s="633"/>
    </row>
    <row r="281" spans="1:15" ht="20.149999999999999" customHeight="1" x14ac:dyDescent="0.35">
      <c r="A281" s="217" t="s">
        <v>361</v>
      </c>
      <c r="B281" s="19">
        <f t="shared" si="26"/>
        <v>255</v>
      </c>
      <c r="C281" s="634">
        <f t="shared" si="27"/>
        <v>48277.357016687281</v>
      </c>
      <c r="D281" s="631"/>
      <c r="E281" s="617">
        <f t="shared" si="28"/>
        <v>26411.440982028642</v>
      </c>
      <c r="F281" s="617"/>
      <c r="G281" s="630">
        <f t="shared" si="29"/>
        <v>21865.91603465864</v>
      </c>
      <c r="H281" s="630"/>
      <c r="I281" s="617">
        <f t="shared" si="30"/>
        <v>3499659.5482358276</v>
      </c>
      <c r="J281" s="617"/>
      <c r="K281" s="630">
        <f t="shared" si="31"/>
        <v>10461926.254190827</v>
      </c>
      <c r="L281" s="630"/>
      <c r="M281" s="633" t="str">
        <f t="shared" si="32"/>
        <v>YES</v>
      </c>
      <c r="N281" s="633"/>
      <c r="O281" s="633"/>
    </row>
    <row r="282" spans="1:15" ht="20.149999999999999" customHeight="1" x14ac:dyDescent="0.35">
      <c r="A282" s="217" t="s">
        <v>360</v>
      </c>
      <c r="B282" s="19">
        <f t="shared" si="26"/>
        <v>256</v>
      </c>
      <c r="C282" s="634">
        <f t="shared" si="27"/>
        <v>48277.357016687281</v>
      </c>
      <c r="D282" s="631"/>
      <c r="E282" s="617">
        <f t="shared" si="28"/>
        <v>26247.446611768708</v>
      </c>
      <c r="F282" s="617"/>
      <c r="G282" s="630">
        <f t="shared" si="29"/>
        <v>22029.910404918573</v>
      </c>
      <c r="H282" s="630"/>
      <c r="I282" s="617">
        <f t="shared" si="30"/>
        <v>3477629.6378309089</v>
      </c>
      <c r="J282" s="617"/>
      <c r="K282" s="630">
        <f t="shared" si="31"/>
        <v>10571012.205243081</v>
      </c>
      <c r="L282" s="630"/>
      <c r="M282" s="633" t="str">
        <f t="shared" si="32"/>
        <v>YES</v>
      </c>
      <c r="N282" s="633"/>
      <c r="O282" s="633"/>
    </row>
    <row r="283" spans="1:15" ht="20.149999999999999" customHeight="1" x14ac:dyDescent="0.35">
      <c r="A283" s="217" t="s">
        <v>361</v>
      </c>
      <c r="B283" s="19">
        <f t="shared" si="26"/>
        <v>257</v>
      </c>
      <c r="C283" s="634">
        <f t="shared" si="27"/>
        <v>48277.357016687281</v>
      </c>
      <c r="D283" s="631"/>
      <c r="E283" s="617">
        <f t="shared" si="28"/>
        <v>26082.222283731815</v>
      </c>
      <c r="F283" s="617"/>
      <c r="G283" s="630">
        <f t="shared" si="29"/>
        <v>22195.134732955466</v>
      </c>
      <c r="H283" s="630"/>
      <c r="I283" s="617">
        <f t="shared" si="30"/>
        <v>3455434.5030979533</v>
      </c>
      <c r="J283" s="617"/>
      <c r="K283" s="630">
        <f t="shared" si="31"/>
        <v>10681133.250296941</v>
      </c>
      <c r="L283" s="630"/>
      <c r="M283" s="633" t="str">
        <f t="shared" si="32"/>
        <v>YES</v>
      </c>
      <c r="N283" s="633"/>
      <c r="O283" s="633"/>
    </row>
    <row r="284" spans="1:15" ht="20.149999999999999" customHeight="1" x14ac:dyDescent="0.35">
      <c r="A284" s="217" t="s">
        <v>360</v>
      </c>
      <c r="B284" s="19">
        <f t="shared" ref="B284:B347" si="33">IF(B283="","",IF(B283+1&gt;$G$14*12,"",B283+1))</f>
        <v>258</v>
      </c>
      <c r="C284" s="634">
        <f t="shared" ref="C284:C347" si="34">IF(B284="","",$G$16)</f>
        <v>48277.357016687281</v>
      </c>
      <c r="D284" s="631"/>
      <c r="E284" s="617">
        <f t="shared" ref="E284:E347" si="35">IF(B284="","",I283*$G$15/12)</f>
        <v>25915.758773234647</v>
      </c>
      <c r="F284" s="617"/>
      <c r="G284" s="630">
        <f t="shared" ref="G284:G347" si="36">IF(B284="","",$G$16-E284)</f>
        <v>22361.598243452634</v>
      </c>
      <c r="H284" s="630"/>
      <c r="I284" s="617">
        <f t="shared" ref="I284:I347" si="37">IF(B284="","",I283-G284)</f>
        <v>3433072.9048545007</v>
      </c>
      <c r="J284" s="617"/>
      <c r="K284" s="630">
        <f t="shared" ref="K284:K347" si="38">IF(B284="","",FV((1+$G$20)^(1/12)-1,1,-$G$19,-K283,1))</f>
        <v>10792299.211145058</v>
      </c>
      <c r="L284" s="630"/>
      <c r="M284" s="633" t="str">
        <f t="shared" ref="M284:M347" si="39">IF(B284="","",IF(K284&gt;=I284,"YES","NO"))</f>
        <v>YES</v>
      </c>
      <c r="N284" s="633"/>
      <c r="O284" s="633"/>
    </row>
    <row r="285" spans="1:15" ht="20.149999999999999" customHeight="1" x14ac:dyDescent="0.35">
      <c r="A285" s="217" t="s">
        <v>361</v>
      </c>
      <c r="B285" s="19">
        <f t="shared" si="33"/>
        <v>259</v>
      </c>
      <c r="C285" s="634">
        <f t="shared" si="34"/>
        <v>48277.357016687281</v>
      </c>
      <c r="D285" s="631"/>
      <c r="E285" s="617">
        <f t="shared" si="35"/>
        <v>25748.046786408755</v>
      </c>
      <c r="F285" s="617"/>
      <c r="G285" s="630">
        <f t="shared" si="36"/>
        <v>22529.310230278526</v>
      </c>
      <c r="H285" s="630"/>
      <c r="I285" s="617">
        <f t="shared" si="37"/>
        <v>3410543.5946242223</v>
      </c>
      <c r="J285" s="617"/>
      <c r="K285" s="630">
        <f t="shared" si="38"/>
        <v>10904520.002777036</v>
      </c>
      <c r="L285" s="630"/>
      <c r="M285" s="633" t="str">
        <f t="shared" si="39"/>
        <v>YES</v>
      </c>
      <c r="N285" s="633"/>
      <c r="O285" s="633"/>
    </row>
    <row r="286" spans="1:15" ht="20.149999999999999" customHeight="1" x14ac:dyDescent="0.35">
      <c r="A286" s="217" t="s">
        <v>360</v>
      </c>
      <c r="B286" s="19">
        <f t="shared" si="33"/>
        <v>260</v>
      </c>
      <c r="C286" s="634">
        <f t="shared" si="34"/>
        <v>48277.357016687281</v>
      </c>
      <c r="D286" s="631"/>
      <c r="E286" s="617">
        <f t="shared" si="35"/>
        <v>25579.076959681668</v>
      </c>
      <c r="F286" s="617"/>
      <c r="G286" s="630">
        <f t="shared" si="36"/>
        <v>22698.280057005613</v>
      </c>
      <c r="H286" s="630"/>
      <c r="I286" s="617">
        <f t="shared" si="37"/>
        <v>3387845.3145672167</v>
      </c>
      <c r="J286" s="617"/>
      <c r="K286" s="630">
        <f t="shared" si="38"/>
        <v>11017805.634263765</v>
      </c>
      <c r="L286" s="630"/>
      <c r="M286" s="633" t="str">
        <f t="shared" si="39"/>
        <v>YES</v>
      </c>
      <c r="N286" s="633"/>
      <c r="O286" s="633"/>
    </row>
    <row r="287" spans="1:15" ht="20.149999999999999" customHeight="1" x14ac:dyDescent="0.35">
      <c r="A287" s="217" t="s">
        <v>361</v>
      </c>
      <c r="B287" s="19">
        <f t="shared" si="33"/>
        <v>261</v>
      </c>
      <c r="C287" s="634">
        <f t="shared" si="34"/>
        <v>48277.357016687281</v>
      </c>
      <c r="D287" s="631"/>
      <c r="E287" s="617">
        <f t="shared" si="35"/>
        <v>25408.839859254123</v>
      </c>
      <c r="F287" s="617"/>
      <c r="G287" s="630">
        <f t="shared" si="36"/>
        <v>22868.517157433158</v>
      </c>
      <c r="H287" s="630"/>
      <c r="I287" s="617">
        <f t="shared" si="37"/>
        <v>3364976.7974097836</v>
      </c>
      <c r="J287" s="617"/>
      <c r="K287" s="630">
        <f t="shared" si="38"/>
        <v>11132166.209650135</v>
      </c>
      <c r="L287" s="630"/>
      <c r="M287" s="633" t="str">
        <f t="shared" si="39"/>
        <v>YES</v>
      </c>
      <c r="N287" s="633"/>
      <c r="O287" s="633"/>
    </row>
    <row r="288" spans="1:15" ht="20.149999999999999" customHeight="1" x14ac:dyDescent="0.35">
      <c r="A288" s="217" t="s">
        <v>360</v>
      </c>
      <c r="B288" s="19">
        <f t="shared" si="33"/>
        <v>262</v>
      </c>
      <c r="C288" s="634">
        <f t="shared" si="34"/>
        <v>48277.357016687281</v>
      </c>
      <c r="D288" s="631"/>
      <c r="E288" s="617">
        <f t="shared" si="35"/>
        <v>25237.325980573372</v>
      </c>
      <c r="F288" s="617"/>
      <c r="G288" s="630">
        <f t="shared" si="36"/>
        <v>23040.031036113909</v>
      </c>
      <c r="H288" s="630"/>
      <c r="I288" s="617">
        <f t="shared" si="37"/>
        <v>3341936.7663736697</v>
      </c>
      <c r="J288" s="617"/>
      <c r="K288" s="630">
        <f t="shared" si="38"/>
        <v>11247611.928856226</v>
      </c>
      <c r="L288" s="630"/>
      <c r="M288" s="633" t="str">
        <f t="shared" si="39"/>
        <v>YES</v>
      </c>
      <c r="N288" s="633"/>
      <c r="O288" s="633"/>
    </row>
    <row r="289" spans="1:15" ht="20.149999999999999" customHeight="1" x14ac:dyDescent="0.35">
      <c r="A289" s="217" t="s">
        <v>361</v>
      </c>
      <c r="B289" s="19">
        <f t="shared" si="33"/>
        <v>263</v>
      </c>
      <c r="C289" s="634">
        <f t="shared" si="34"/>
        <v>48277.357016687281</v>
      </c>
      <c r="D289" s="631"/>
      <c r="E289" s="617">
        <f t="shared" si="35"/>
        <v>25064.52574780252</v>
      </c>
      <c r="F289" s="617"/>
      <c r="G289" s="630">
        <f t="shared" si="36"/>
        <v>23212.831268884762</v>
      </c>
      <c r="H289" s="630"/>
      <c r="I289" s="617">
        <f t="shared" si="37"/>
        <v>3318723.935104785</v>
      </c>
      <c r="J289" s="617"/>
      <c r="K289" s="630">
        <f t="shared" si="38"/>
        <v>11364153.088587048</v>
      </c>
      <c r="L289" s="630"/>
      <c r="M289" s="633" t="str">
        <f t="shared" si="39"/>
        <v>YES</v>
      </c>
      <c r="N289" s="633"/>
      <c r="O289" s="633"/>
    </row>
    <row r="290" spans="1:15" ht="20.149999999999999" customHeight="1" x14ac:dyDescent="0.35">
      <c r="A290" s="217" t="s">
        <v>360</v>
      </c>
      <c r="B290" s="19">
        <f t="shared" si="33"/>
        <v>264</v>
      </c>
      <c r="C290" s="634">
        <f t="shared" si="34"/>
        <v>48277.357016687281</v>
      </c>
      <c r="D290" s="631"/>
      <c r="E290" s="617">
        <f t="shared" si="35"/>
        <v>24890.429513285886</v>
      </c>
      <c r="F290" s="617"/>
      <c r="G290" s="630">
        <f t="shared" si="36"/>
        <v>23386.927503401395</v>
      </c>
      <c r="H290" s="630"/>
      <c r="I290" s="617">
        <f t="shared" si="37"/>
        <v>3295337.0076013836</v>
      </c>
      <c r="J290" s="617"/>
      <c r="K290" s="630">
        <f t="shared" si="38"/>
        <v>11481800.083250912</v>
      </c>
      <c r="L290" s="630"/>
      <c r="M290" s="633" t="str">
        <f t="shared" si="39"/>
        <v>YES</v>
      </c>
      <c r="N290" s="633"/>
      <c r="O290" s="633"/>
    </row>
    <row r="291" spans="1:15" ht="20.149999999999999" customHeight="1" x14ac:dyDescent="0.35">
      <c r="A291" s="217" t="s">
        <v>361</v>
      </c>
      <c r="B291" s="19">
        <f t="shared" si="33"/>
        <v>265</v>
      </c>
      <c r="C291" s="634">
        <f t="shared" si="34"/>
        <v>48277.357016687281</v>
      </c>
      <c r="D291" s="631"/>
      <c r="E291" s="617">
        <f t="shared" si="35"/>
        <v>24715.027557010373</v>
      </c>
      <c r="F291" s="617"/>
      <c r="G291" s="630">
        <f t="shared" si="36"/>
        <v>23562.329459676908</v>
      </c>
      <c r="H291" s="630"/>
      <c r="I291" s="617">
        <f t="shared" si="37"/>
        <v>3271774.6781417066</v>
      </c>
      <c r="J291" s="617"/>
      <c r="K291" s="630">
        <f t="shared" si="38"/>
        <v>11600563.405886518</v>
      </c>
      <c r="L291" s="630"/>
      <c r="M291" s="633" t="str">
        <f t="shared" si="39"/>
        <v>YES</v>
      </c>
      <c r="N291" s="633"/>
      <c r="O291" s="633"/>
    </row>
    <row r="292" spans="1:15" ht="20.149999999999999" customHeight="1" x14ac:dyDescent="0.35">
      <c r="A292" s="217" t="s">
        <v>360</v>
      </c>
      <c r="B292" s="19">
        <f t="shared" si="33"/>
        <v>266</v>
      </c>
      <c r="C292" s="634">
        <f t="shared" si="34"/>
        <v>48277.357016687281</v>
      </c>
      <c r="D292" s="631"/>
      <c r="E292" s="617">
        <f t="shared" si="35"/>
        <v>24538.3100860628</v>
      </c>
      <c r="F292" s="617"/>
      <c r="G292" s="630">
        <f t="shared" si="36"/>
        <v>23739.046930624481</v>
      </c>
      <c r="H292" s="630"/>
      <c r="I292" s="617">
        <f t="shared" si="37"/>
        <v>3248035.631211082</v>
      </c>
      <c r="J292" s="617"/>
      <c r="K292" s="630">
        <f t="shared" si="38"/>
        <v>11720453.649098836</v>
      </c>
      <c r="L292" s="630"/>
      <c r="M292" s="633" t="str">
        <f t="shared" si="39"/>
        <v>YES</v>
      </c>
      <c r="N292" s="633"/>
      <c r="O292" s="633"/>
    </row>
    <row r="293" spans="1:15" ht="20.149999999999999" customHeight="1" x14ac:dyDescent="0.35">
      <c r="A293" s="217" t="s">
        <v>361</v>
      </c>
      <c r="B293" s="19">
        <f t="shared" si="33"/>
        <v>267</v>
      </c>
      <c r="C293" s="634">
        <f t="shared" si="34"/>
        <v>48277.357016687281</v>
      </c>
      <c r="D293" s="631"/>
      <c r="E293" s="617">
        <f t="shared" si="35"/>
        <v>24360.267234083116</v>
      </c>
      <c r="F293" s="617"/>
      <c r="G293" s="630">
        <f t="shared" si="36"/>
        <v>23917.089782604166</v>
      </c>
      <c r="H293" s="630"/>
      <c r="I293" s="617">
        <f t="shared" si="37"/>
        <v>3224118.541428478</v>
      </c>
      <c r="J293" s="617"/>
      <c r="K293" s="630">
        <f t="shared" si="38"/>
        <v>11841481.506003872</v>
      </c>
      <c r="L293" s="630"/>
      <c r="M293" s="633" t="str">
        <f t="shared" si="39"/>
        <v>YES</v>
      </c>
      <c r="N293" s="633"/>
      <c r="O293" s="633"/>
    </row>
    <row r="294" spans="1:15" ht="20.149999999999999" customHeight="1" x14ac:dyDescent="0.35">
      <c r="A294" s="217" t="s">
        <v>360</v>
      </c>
      <c r="B294" s="19">
        <f t="shared" si="33"/>
        <v>268</v>
      </c>
      <c r="C294" s="634">
        <f t="shared" si="34"/>
        <v>48277.357016687281</v>
      </c>
      <c r="D294" s="631"/>
      <c r="E294" s="617">
        <f t="shared" si="35"/>
        <v>24180.889060713584</v>
      </c>
      <c r="F294" s="617"/>
      <c r="G294" s="630">
        <f t="shared" si="36"/>
        <v>24096.467955973698</v>
      </c>
      <c r="H294" s="630"/>
      <c r="I294" s="617">
        <f t="shared" si="37"/>
        <v>3200022.0734725045</v>
      </c>
      <c r="J294" s="617"/>
      <c r="K294" s="630">
        <f t="shared" si="38"/>
        <v>11963657.771182396</v>
      </c>
      <c r="L294" s="630"/>
      <c r="M294" s="633" t="str">
        <f t="shared" si="39"/>
        <v>YES</v>
      </c>
      <c r="N294" s="633"/>
      <c r="O294" s="633"/>
    </row>
    <row r="295" spans="1:15" ht="20.149999999999999" customHeight="1" x14ac:dyDescent="0.35">
      <c r="A295" s="217" t="s">
        <v>361</v>
      </c>
      <c r="B295" s="19">
        <f t="shared" si="33"/>
        <v>269</v>
      </c>
      <c r="C295" s="634">
        <f t="shared" si="34"/>
        <v>48277.357016687281</v>
      </c>
      <c r="D295" s="631"/>
      <c r="E295" s="617">
        <f t="shared" si="35"/>
        <v>24000.165551043785</v>
      </c>
      <c r="F295" s="617"/>
      <c r="G295" s="630">
        <f t="shared" si="36"/>
        <v>24277.191465643496</v>
      </c>
      <c r="H295" s="630"/>
      <c r="I295" s="617">
        <f t="shared" si="37"/>
        <v>3175744.8820068608</v>
      </c>
      <c r="J295" s="617"/>
      <c r="K295" s="630">
        <f t="shared" si="38"/>
        <v>12086993.341642719</v>
      </c>
      <c r="L295" s="630"/>
      <c r="M295" s="633" t="str">
        <f t="shared" si="39"/>
        <v>YES</v>
      </c>
      <c r="N295" s="633"/>
      <c r="O295" s="633"/>
    </row>
    <row r="296" spans="1:15" ht="20.149999999999999" customHeight="1" x14ac:dyDescent="0.35">
      <c r="A296" s="217" t="s">
        <v>360</v>
      </c>
      <c r="B296" s="19">
        <f t="shared" si="33"/>
        <v>270</v>
      </c>
      <c r="C296" s="634">
        <f t="shared" si="34"/>
        <v>48277.357016687281</v>
      </c>
      <c r="D296" s="631"/>
      <c r="E296" s="617">
        <f t="shared" si="35"/>
        <v>23818.086615051452</v>
      </c>
      <c r="F296" s="617"/>
      <c r="G296" s="630">
        <f t="shared" si="36"/>
        <v>24459.270401635829</v>
      </c>
      <c r="H296" s="630"/>
      <c r="I296" s="617">
        <f t="shared" si="37"/>
        <v>3151285.6116052251</v>
      </c>
      <c r="J296" s="617"/>
      <c r="K296" s="630">
        <f t="shared" si="38"/>
        <v>12211499.21779261</v>
      </c>
      <c r="L296" s="630"/>
      <c r="M296" s="633" t="str">
        <f t="shared" si="39"/>
        <v>YES</v>
      </c>
      <c r="N296" s="633"/>
      <c r="O296" s="633"/>
    </row>
    <row r="297" spans="1:15" ht="20.149999999999999" customHeight="1" x14ac:dyDescent="0.35">
      <c r="A297" s="217" t="s">
        <v>361</v>
      </c>
      <c r="B297" s="19">
        <f t="shared" si="33"/>
        <v>271</v>
      </c>
      <c r="C297" s="634">
        <f t="shared" si="34"/>
        <v>48277.357016687281</v>
      </c>
      <c r="D297" s="631"/>
      <c r="E297" s="617">
        <f t="shared" si="35"/>
        <v>23634.642087039188</v>
      </c>
      <c r="F297" s="617"/>
      <c r="G297" s="630">
        <f t="shared" si="36"/>
        <v>24642.714929648093</v>
      </c>
      <c r="H297" s="630"/>
      <c r="I297" s="617">
        <f t="shared" si="37"/>
        <v>3126642.8966755769</v>
      </c>
      <c r="J297" s="617"/>
      <c r="K297" s="630">
        <f t="shared" si="38"/>
        <v>12337186.504420426</v>
      </c>
      <c r="L297" s="630"/>
      <c r="M297" s="633" t="str">
        <f t="shared" si="39"/>
        <v>YES</v>
      </c>
      <c r="N297" s="633"/>
      <c r="O297" s="633"/>
    </row>
    <row r="298" spans="1:15" ht="20.149999999999999" customHeight="1" x14ac:dyDescent="0.35">
      <c r="A298" s="217" t="s">
        <v>360</v>
      </c>
      <c r="B298" s="19">
        <f t="shared" si="33"/>
        <v>272</v>
      </c>
      <c r="C298" s="634">
        <f t="shared" si="34"/>
        <v>48277.357016687281</v>
      </c>
      <c r="D298" s="631"/>
      <c r="E298" s="617">
        <f t="shared" si="35"/>
        <v>23449.821725066824</v>
      </c>
      <c r="F298" s="617"/>
      <c r="G298" s="630">
        <f t="shared" si="36"/>
        <v>24827.535291620457</v>
      </c>
      <c r="H298" s="630"/>
      <c r="I298" s="617">
        <f t="shared" si="37"/>
        <v>3101815.3613839564</v>
      </c>
      <c r="J298" s="617"/>
      <c r="K298" s="630">
        <f t="shared" si="38"/>
        <v>12464066.411685562</v>
      </c>
      <c r="L298" s="630"/>
      <c r="M298" s="633" t="str">
        <f t="shared" si="39"/>
        <v>YES</v>
      </c>
      <c r="N298" s="633"/>
      <c r="O298" s="633"/>
    </row>
    <row r="299" spans="1:15" ht="20.149999999999999" customHeight="1" x14ac:dyDescent="0.35">
      <c r="A299" s="217" t="s">
        <v>361</v>
      </c>
      <c r="B299" s="19">
        <f t="shared" si="33"/>
        <v>273</v>
      </c>
      <c r="C299" s="634">
        <f t="shared" si="34"/>
        <v>48277.357016687281</v>
      </c>
      <c r="D299" s="631"/>
      <c r="E299" s="617">
        <f t="shared" si="35"/>
        <v>23263.615210379674</v>
      </c>
      <c r="F299" s="617"/>
      <c r="G299" s="630">
        <f t="shared" si="36"/>
        <v>25013.741806307607</v>
      </c>
      <c r="H299" s="630"/>
      <c r="I299" s="617">
        <f t="shared" si="37"/>
        <v>3076801.6195776486</v>
      </c>
      <c r="J299" s="617"/>
      <c r="K299" s="630">
        <f t="shared" si="38"/>
        <v>12592150.256118296</v>
      </c>
      <c r="L299" s="630"/>
      <c r="M299" s="633" t="str">
        <f t="shared" si="39"/>
        <v>YES</v>
      </c>
      <c r="N299" s="633"/>
      <c r="O299" s="633"/>
    </row>
    <row r="300" spans="1:15" ht="20.149999999999999" customHeight="1" x14ac:dyDescent="0.35">
      <c r="A300" s="217" t="s">
        <v>360</v>
      </c>
      <c r="B300" s="19">
        <f t="shared" si="33"/>
        <v>274</v>
      </c>
      <c r="C300" s="634">
        <f t="shared" si="34"/>
        <v>48277.357016687281</v>
      </c>
      <c r="D300" s="631"/>
      <c r="E300" s="617">
        <f t="shared" si="35"/>
        <v>23076.012146832363</v>
      </c>
      <c r="F300" s="617"/>
      <c r="G300" s="630">
        <f t="shared" si="36"/>
        <v>25201.344869854918</v>
      </c>
      <c r="H300" s="630"/>
      <c r="I300" s="617">
        <f t="shared" si="37"/>
        <v>3051600.2747077937</v>
      </c>
      <c r="J300" s="617"/>
      <c r="K300" s="630">
        <f t="shared" si="38"/>
        <v>12721449.461629119</v>
      </c>
      <c r="L300" s="630"/>
      <c r="M300" s="633" t="str">
        <f t="shared" si="39"/>
        <v>YES</v>
      </c>
      <c r="N300" s="633"/>
      <c r="O300" s="633"/>
    </row>
    <row r="301" spans="1:15" ht="20.149999999999999" customHeight="1" x14ac:dyDescent="0.35">
      <c r="A301" s="217" t="s">
        <v>361</v>
      </c>
      <c r="B301" s="19">
        <f t="shared" si="33"/>
        <v>275</v>
      </c>
      <c r="C301" s="634">
        <f t="shared" si="34"/>
        <v>48277.357016687281</v>
      </c>
      <c r="D301" s="631"/>
      <c r="E301" s="617">
        <f t="shared" si="35"/>
        <v>22887.002060308452</v>
      </c>
      <c r="F301" s="617"/>
      <c r="G301" s="630">
        <f t="shared" si="36"/>
        <v>25390.354956378829</v>
      </c>
      <c r="H301" s="630"/>
      <c r="I301" s="617">
        <f t="shared" si="37"/>
        <v>3026209.919751415</v>
      </c>
      <c r="J301" s="617"/>
      <c r="K301" s="630">
        <f t="shared" si="38"/>
        <v>12851975.560527639</v>
      </c>
      <c r="L301" s="630"/>
      <c r="M301" s="633" t="str">
        <f t="shared" si="39"/>
        <v>YES</v>
      </c>
      <c r="N301" s="633"/>
      <c r="O301" s="633"/>
    </row>
    <row r="302" spans="1:15" ht="20.149999999999999" customHeight="1" x14ac:dyDescent="0.35">
      <c r="A302" s="217" t="s">
        <v>360</v>
      </c>
      <c r="B302" s="19">
        <f t="shared" si="33"/>
        <v>276</v>
      </c>
      <c r="C302" s="634">
        <f t="shared" si="34"/>
        <v>48277.357016687281</v>
      </c>
      <c r="D302" s="631"/>
      <c r="E302" s="617">
        <f t="shared" si="35"/>
        <v>22696.57439813561</v>
      </c>
      <c r="F302" s="617"/>
      <c r="G302" s="630">
        <f t="shared" si="36"/>
        <v>25580.782618551671</v>
      </c>
      <c r="H302" s="630"/>
      <c r="I302" s="617">
        <f t="shared" si="37"/>
        <v>3000629.1371328635</v>
      </c>
      <c r="J302" s="617"/>
      <c r="K302" s="630">
        <f t="shared" si="38"/>
        <v>12983740.194551168</v>
      </c>
      <c r="L302" s="630"/>
      <c r="M302" s="633" t="str">
        <f t="shared" si="39"/>
        <v>YES</v>
      </c>
      <c r="N302" s="633"/>
      <c r="O302" s="633"/>
    </row>
    <row r="303" spans="1:15" ht="20.149999999999999" customHeight="1" x14ac:dyDescent="0.35">
      <c r="A303" s="217" t="s">
        <v>361</v>
      </c>
      <c r="B303" s="19">
        <f t="shared" si="33"/>
        <v>277</v>
      </c>
      <c r="C303" s="634">
        <f t="shared" si="34"/>
        <v>48277.357016687281</v>
      </c>
      <c r="D303" s="631"/>
      <c r="E303" s="617">
        <f t="shared" si="35"/>
        <v>22504.718528496476</v>
      </c>
      <c r="F303" s="617"/>
      <c r="G303" s="630">
        <f t="shared" si="36"/>
        <v>25772.638488190805</v>
      </c>
      <c r="H303" s="630"/>
      <c r="I303" s="617">
        <f t="shared" si="37"/>
        <v>2974856.4986446728</v>
      </c>
      <c r="J303" s="617"/>
      <c r="K303" s="630">
        <f t="shared" si="38"/>
        <v>13116755.115903046</v>
      </c>
      <c r="L303" s="630"/>
      <c r="M303" s="633" t="str">
        <f t="shared" si="39"/>
        <v>YES</v>
      </c>
      <c r="N303" s="633"/>
      <c r="O303" s="633"/>
    </row>
    <row r="304" spans="1:15" ht="20.149999999999999" customHeight="1" x14ac:dyDescent="0.35">
      <c r="A304" s="217" t="s">
        <v>360</v>
      </c>
      <c r="B304" s="19">
        <f t="shared" si="33"/>
        <v>278</v>
      </c>
      <c r="C304" s="634">
        <f t="shared" si="34"/>
        <v>48277.357016687281</v>
      </c>
      <c r="D304" s="631"/>
      <c r="E304" s="617">
        <f t="shared" si="35"/>
        <v>22311.423739835049</v>
      </c>
      <c r="F304" s="617"/>
      <c r="G304" s="630">
        <f t="shared" si="36"/>
        <v>25965.933276852233</v>
      </c>
      <c r="H304" s="630"/>
      <c r="I304" s="617">
        <f t="shared" si="37"/>
        <v>2948890.5653678207</v>
      </c>
      <c r="J304" s="617"/>
      <c r="K304" s="630">
        <f t="shared" si="38"/>
        <v>13251032.188300842</v>
      </c>
      <c r="L304" s="630"/>
      <c r="M304" s="633" t="str">
        <f t="shared" si="39"/>
        <v>YES</v>
      </c>
      <c r="N304" s="633"/>
      <c r="O304" s="633"/>
    </row>
    <row r="305" spans="1:15" ht="20.149999999999999" customHeight="1" x14ac:dyDescent="0.35">
      <c r="A305" s="217" t="s">
        <v>361</v>
      </c>
      <c r="B305" s="19">
        <f t="shared" si="33"/>
        <v>279</v>
      </c>
      <c r="C305" s="634">
        <f t="shared" si="34"/>
        <v>48277.357016687281</v>
      </c>
      <c r="D305" s="631"/>
      <c r="E305" s="617">
        <f t="shared" si="35"/>
        <v>22116.679240258654</v>
      </c>
      <c r="F305" s="617"/>
      <c r="G305" s="630">
        <f t="shared" si="36"/>
        <v>26160.677776428627</v>
      </c>
      <c r="H305" s="630"/>
      <c r="I305" s="617">
        <f t="shared" si="37"/>
        <v>2922729.8875913923</v>
      </c>
      <c r="J305" s="617"/>
      <c r="K305" s="630">
        <f t="shared" si="38"/>
        <v>13386583.388034483</v>
      </c>
      <c r="L305" s="630"/>
      <c r="M305" s="633" t="str">
        <f t="shared" si="39"/>
        <v>YES</v>
      </c>
      <c r="N305" s="633"/>
      <c r="O305" s="633"/>
    </row>
    <row r="306" spans="1:15" ht="20.149999999999999" customHeight="1" x14ac:dyDescent="0.35">
      <c r="A306" s="217" t="s">
        <v>360</v>
      </c>
      <c r="B306" s="19">
        <f t="shared" si="33"/>
        <v>280</v>
      </c>
      <c r="C306" s="634">
        <f t="shared" si="34"/>
        <v>48277.357016687281</v>
      </c>
      <c r="D306" s="631"/>
      <c r="E306" s="617">
        <f t="shared" si="35"/>
        <v>21920.474156935441</v>
      </c>
      <c r="F306" s="617"/>
      <c r="G306" s="630">
        <f t="shared" si="36"/>
        <v>26356.88285975184</v>
      </c>
      <c r="H306" s="630"/>
      <c r="I306" s="617">
        <f t="shared" si="37"/>
        <v>2896373.0047316402</v>
      </c>
      <c r="J306" s="617"/>
      <c r="K306" s="630">
        <f t="shared" si="38"/>
        <v>13523420.805034431</v>
      </c>
      <c r="L306" s="630"/>
      <c r="M306" s="633" t="str">
        <f t="shared" si="39"/>
        <v>YES</v>
      </c>
      <c r="N306" s="633"/>
      <c r="O306" s="633"/>
    </row>
    <row r="307" spans="1:15" ht="20.149999999999999" customHeight="1" x14ac:dyDescent="0.35">
      <c r="A307" s="217" t="s">
        <v>361</v>
      </c>
      <c r="B307" s="19">
        <f t="shared" si="33"/>
        <v>281</v>
      </c>
      <c r="C307" s="634">
        <f t="shared" si="34"/>
        <v>48277.357016687281</v>
      </c>
      <c r="D307" s="631"/>
      <c r="E307" s="617">
        <f t="shared" si="35"/>
        <v>21722.797535487302</v>
      </c>
      <c r="F307" s="617"/>
      <c r="G307" s="630">
        <f t="shared" si="36"/>
        <v>26554.55948119998</v>
      </c>
      <c r="H307" s="630"/>
      <c r="I307" s="617">
        <f t="shared" si="37"/>
        <v>2869818.4452504404</v>
      </c>
      <c r="J307" s="617"/>
      <c r="K307" s="630">
        <f t="shared" si="38"/>
        <v>13661556.643949993</v>
      </c>
      <c r="L307" s="630"/>
      <c r="M307" s="633" t="str">
        <f t="shared" si="39"/>
        <v>YES</v>
      </c>
      <c r="N307" s="633"/>
      <c r="O307" s="633"/>
    </row>
    <row r="308" spans="1:15" ht="20.149999999999999" customHeight="1" x14ac:dyDescent="0.35">
      <c r="A308" s="217" t="s">
        <v>360</v>
      </c>
      <c r="B308" s="19">
        <f t="shared" si="33"/>
        <v>282</v>
      </c>
      <c r="C308" s="634">
        <f t="shared" si="34"/>
        <v>48277.357016687281</v>
      </c>
      <c r="D308" s="631"/>
      <c r="E308" s="617">
        <f t="shared" si="35"/>
        <v>21523.6383393783</v>
      </c>
      <c r="F308" s="617"/>
      <c r="G308" s="630">
        <f t="shared" si="36"/>
        <v>26753.718677308982</v>
      </c>
      <c r="H308" s="630"/>
      <c r="I308" s="617">
        <f t="shared" si="37"/>
        <v>2843064.7265731315</v>
      </c>
      <c r="J308" s="617"/>
      <c r="K308" s="630">
        <f t="shared" si="38"/>
        <v>13801003.225237871</v>
      </c>
      <c r="L308" s="630"/>
      <c r="M308" s="633" t="str">
        <f t="shared" si="39"/>
        <v>YES</v>
      </c>
      <c r="N308" s="633"/>
      <c r="O308" s="633"/>
    </row>
    <row r="309" spans="1:15" ht="20.149999999999999" customHeight="1" x14ac:dyDescent="0.35">
      <c r="A309" s="217" t="s">
        <v>361</v>
      </c>
      <c r="B309" s="19">
        <f t="shared" si="33"/>
        <v>283</v>
      </c>
      <c r="C309" s="634">
        <f t="shared" si="34"/>
        <v>48277.357016687281</v>
      </c>
      <c r="D309" s="631"/>
      <c r="E309" s="617">
        <f t="shared" si="35"/>
        <v>21322.985449298485</v>
      </c>
      <c r="F309" s="617"/>
      <c r="G309" s="630">
        <f t="shared" si="36"/>
        <v>26954.371567388796</v>
      </c>
      <c r="H309" s="630"/>
      <c r="I309" s="617">
        <f t="shared" si="37"/>
        <v>2816110.3550057425</v>
      </c>
      <c r="J309" s="617"/>
      <c r="K309" s="630">
        <f t="shared" si="38"/>
        <v>13941772.986261025</v>
      </c>
      <c r="L309" s="630"/>
      <c r="M309" s="633" t="str">
        <f t="shared" si="39"/>
        <v>YES</v>
      </c>
      <c r="N309" s="633"/>
      <c r="O309" s="633"/>
    </row>
    <row r="310" spans="1:15" ht="20.149999999999999" customHeight="1" x14ac:dyDescent="0.35">
      <c r="A310" s="217" t="s">
        <v>360</v>
      </c>
      <c r="B310" s="19">
        <f t="shared" si="33"/>
        <v>284</v>
      </c>
      <c r="C310" s="634">
        <f t="shared" si="34"/>
        <v>48277.357016687281</v>
      </c>
      <c r="D310" s="631"/>
      <c r="E310" s="617">
        <f t="shared" si="35"/>
        <v>21120.82766254307</v>
      </c>
      <c r="F310" s="617"/>
      <c r="G310" s="630">
        <f t="shared" si="36"/>
        <v>27156.529354144212</v>
      </c>
      <c r="H310" s="630"/>
      <c r="I310" s="617">
        <f t="shared" si="37"/>
        <v>2788953.8256515982</v>
      </c>
      <c r="J310" s="617"/>
      <c r="K310" s="630">
        <f t="shared" si="38"/>
        <v>14083878.482397979</v>
      </c>
      <c r="L310" s="630"/>
      <c r="M310" s="633" t="str">
        <f t="shared" si="39"/>
        <v>YES</v>
      </c>
      <c r="N310" s="633"/>
      <c r="O310" s="633"/>
    </row>
    <row r="311" spans="1:15" ht="20.149999999999999" customHeight="1" x14ac:dyDescent="0.35">
      <c r="A311" s="217" t="s">
        <v>361</v>
      </c>
      <c r="B311" s="19">
        <f t="shared" si="33"/>
        <v>285</v>
      </c>
      <c r="C311" s="634">
        <f t="shared" si="34"/>
        <v>48277.357016687281</v>
      </c>
      <c r="D311" s="631"/>
      <c r="E311" s="617">
        <f t="shared" si="35"/>
        <v>20917.153692386986</v>
      </c>
      <c r="F311" s="617"/>
      <c r="G311" s="630">
        <f t="shared" si="36"/>
        <v>27360.203324300295</v>
      </c>
      <c r="H311" s="630"/>
      <c r="I311" s="617">
        <f t="shared" si="37"/>
        <v>2761593.6223272979</v>
      </c>
      <c r="J311" s="617"/>
      <c r="K311" s="630">
        <f t="shared" si="38"/>
        <v>14227332.388162643</v>
      </c>
      <c r="L311" s="630"/>
      <c r="M311" s="633" t="str">
        <f t="shared" si="39"/>
        <v>YES</v>
      </c>
      <c r="N311" s="633"/>
      <c r="O311" s="633"/>
    </row>
    <row r="312" spans="1:15" ht="20.149999999999999" customHeight="1" x14ac:dyDescent="0.35">
      <c r="A312" s="217" t="s">
        <v>360</v>
      </c>
      <c r="B312" s="19">
        <f t="shared" si="33"/>
        <v>286</v>
      </c>
      <c r="C312" s="634">
        <f t="shared" si="34"/>
        <v>48277.357016687281</v>
      </c>
      <c r="D312" s="631"/>
      <c r="E312" s="617">
        <f t="shared" si="35"/>
        <v>20711.952167454732</v>
      </c>
      <c r="F312" s="617"/>
      <c r="G312" s="630">
        <f t="shared" si="36"/>
        <v>27565.404849232549</v>
      </c>
      <c r="H312" s="630"/>
      <c r="I312" s="617">
        <f t="shared" si="37"/>
        <v>2734028.2174780653</v>
      </c>
      <c r="J312" s="617"/>
      <c r="K312" s="630">
        <f t="shared" si="38"/>
        <v>14372147.498334764</v>
      </c>
      <c r="L312" s="630"/>
      <c r="M312" s="633" t="str">
        <f t="shared" si="39"/>
        <v>YES</v>
      </c>
      <c r="N312" s="633"/>
      <c r="O312" s="633"/>
    </row>
    <row r="313" spans="1:15" ht="20.149999999999999" customHeight="1" x14ac:dyDescent="0.35">
      <c r="A313" s="217" t="s">
        <v>361</v>
      </c>
      <c r="B313" s="19">
        <f t="shared" si="33"/>
        <v>287</v>
      </c>
      <c r="C313" s="634">
        <f t="shared" si="34"/>
        <v>48277.357016687281</v>
      </c>
      <c r="D313" s="631"/>
      <c r="E313" s="617">
        <f t="shared" si="35"/>
        <v>20505.211631085487</v>
      </c>
      <c r="F313" s="617"/>
      <c r="G313" s="630">
        <f t="shared" si="36"/>
        <v>27772.145385601794</v>
      </c>
      <c r="H313" s="630"/>
      <c r="I313" s="617">
        <f t="shared" si="37"/>
        <v>2706256.0720924633</v>
      </c>
      <c r="J313" s="617"/>
      <c r="K313" s="630">
        <f t="shared" si="38"/>
        <v>14518336.729101107</v>
      </c>
      <c r="L313" s="630"/>
      <c r="M313" s="633" t="str">
        <f t="shared" si="39"/>
        <v>YES</v>
      </c>
      <c r="N313" s="633"/>
      <c r="O313" s="633"/>
    </row>
    <row r="314" spans="1:15" ht="20.149999999999999" customHeight="1" x14ac:dyDescent="0.35">
      <c r="A314" s="217" t="s">
        <v>360</v>
      </c>
      <c r="B314" s="19">
        <f t="shared" si="33"/>
        <v>288</v>
      </c>
      <c r="C314" s="634">
        <f t="shared" si="34"/>
        <v>48277.357016687281</v>
      </c>
      <c r="D314" s="631"/>
      <c r="E314" s="617">
        <f t="shared" si="35"/>
        <v>20296.920540693474</v>
      </c>
      <c r="F314" s="617"/>
      <c r="G314" s="630">
        <f t="shared" si="36"/>
        <v>27980.436475993807</v>
      </c>
      <c r="H314" s="630"/>
      <c r="I314" s="617">
        <f t="shared" si="37"/>
        <v>2678275.6356164697</v>
      </c>
      <c r="J314" s="617"/>
      <c r="K314" s="630">
        <f t="shared" si="38"/>
        <v>14665913.119207459</v>
      </c>
      <c r="L314" s="630"/>
      <c r="M314" s="633" t="str">
        <f t="shared" si="39"/>
        <v>YES</v>
      </c>
      <c r="N314" s="633"/>
      <c r="O314" s="633"/>
    </row>
    <row r="315" spans="1:15" ht="20.149999999999999" customHeight="1" x14ac:dyDescent="0.35">
      <c r="A315" s="217" t="s">
        <v>361</v>
      </c>
      <c r="B315" s="19">
        <f t="shared" si="33"/>
        <v>289</v>
      </c>
      <c r="C315" s="634">
        <f t="shared" si="34"/>
        <v>48277.357016687281</v>
      </c>
      <c r="D315" s="631"/>
      <c r="E315" s="617">
        <f t="shared" si="35"/>
        <v>20087.067267123522</v>
      </c>
      <c r="F315" s="617"/>
      <c r="G315" s="630">
        <f t="shared" si="36"/>
        <v>28190.289749563759</v>
      </c>
      <c r="H315" s="630"/>
      <c r="I315" s="617">
        <f t="shared" si="37"/>
        <v>2650085.345866906</v>
      </c>
      <c r="J315" s="617"/>
      <c r="K315" s="630">
        <f t="shared" si="38"/>
        <v>14814889.831121562</v>
      </c>
      <c r="L315" s="630"/>
      <c r="M315" s="633" t="str">
        <f t="shared" si="39"/>
        <v>YES</v>
      </c>
      <c r="N315" s="633"/>
      <c r="O315" s="633"/>
    </row>
    <row r="316" spans="1:15" ht="20.149999999999999" customHeight="1" x14ac:dyDescent="0.35">
      <c r="A316" s="217" t="s">
        <v>360</v>
      </c>
      <c r="B316" s="19">
        <f t="shared" si="33"/>
        <v>290</v>
      </c>
      <c r="C316" s="634">
        <f t="shared" si="34"/>
        <v>48277.357016687281</v>
      </c>
      <c r="D316" s="631"/>
      <c r="E316" s="617">
        <f t="shared" si="35"/>
        <v>19875.640094001796</v>
      </c>
      <c r="F316" s="617"/>
      <c r="G316" s="630">
        <f t="shared" si="36"/>
        <v>28401.716922685486</v>
      </c>
      <c r="H316" s="630"/>
      <c r="I316" s="617">
        <f t="shared" si="37"/>
        <v>2621683.6289442205</v>
      </c>
      <c r="J316" s="617"/>
      <c r="K316" s="630">
        <f t="shared" si="38"/>
        <v>14965280.152207093</v>
      </c>
      <c r="L316" s="630"/>
      <c r="M316" s="633" t="str">
        <f t="shared" si="39"/>
        <v>YES</v>
      </c>
      <c r="N316" s="633"/>
      <c r="O316" s="633"/>
    </row>
    <row r="317" spans="1:15" ht="20.149999999999999" customHeight="1" x14ac:dyDescent="0.35">
      <c r="A317" s="217" t="s">
        <v>361</v>
      </c>
      <c r="B317" s="19">
        <f t="shared" si="33"/>
        <v>291</v>
      </c>
      <c r="C317" s="634">
        <f t="shared" si="34"/>
        <v>48277.357016687281</v>
      </c>
      <c r="D317" s="631"/>
      <c r="E317" s="617">
        <f t="shared" si="35"/>
        <v>19662.627217081652</v>
      </c>
      <c r="F317" s="617"/>
      <c r="G317" s="630">
        <f t="shared" si="36"/>
        <v>28614.72979960563</v>
      </c>
      <c r="H317" s="630"/>
      <c r="I317" s="617">
        <f t="shared" si="37"/>
        <v>2593068.899144615</v>
      </c>
      <c r="J317" s="617"/>
      <c r="K317" s="630">
        <f t="shared" si="38"/>
        <v>15117097.495908771</v>
      </c>
      <c r="L317" s="630"/>
      <c r="M317" s="633" t="str">
        <f t="shared" si="39"/>
        <v>YES</v>
      </c>
      <c r="N317" s="633"/>
      <c r="O317" s="633"/>
    </row>
    <row r="318" spans="1:15" ht="20.149999999999999" customHeight="1" x14ac:dyDescent="0.35">
      <c r="A318" s="217" t="s">
        <v>360</v>
      </c>
      <c r="B318" s="19">
        <f t="shared" si="33"/>
        <v>292</v>
      </c>
      <c r="C318" s="634">
        <f t="shared" si="34"/>
        <v>48277.357016687281</v>
      </c>
      <c r="D318" s="631"/>
      <c r="E318" s="617">
        <f t="shared" si="35"/>
        <v>19448.016743584612</v>
      </c>
      <c r="F318" s="617"/>
      <c r="G318" s="630">
        <f t="shared" si="36"/>
        <v>28829.340273102669</v>
      </c>
      <c r="H318" s="630"/>
      <c r="I318" s="617">
        <f t="shared" si="37"/>
        <v>2564239.5588715123</v>
      </c>
      <c r="J318" s="617"/>
      <c r="K318" s="630">
        <f t="shared" si="38"/>
        <v>15270355.402948711</v>
      </c>
      <c r="L318" s="630"/>
      <c r="M318" s="633" t="str">
        <f t="shared" si="39"/>
        <v>YES</v>
      </c>
      <c r="N318" s="633"/>
      <c r="O318" s="633"/>
    </row>
    <row r="319" spans="1:15" ht="20.149999999999999" customHeight="1" x14ac:dyDescent="0.35">
      <c r="A319" s="217" t="s">
        <v>361</v>
      </c>
      <c r="B319" s="19">
        <f t="shared" si="33"/>
        <v>293</v>
      </c>
      <c r="C319" s="634">
        <f t="shared" si="34"/>
        <v>48277.357016687281</v>
      </c>
      <c r="D319" s="631"/>
      <c r="E319" s="617">
        <f t="shared" si="35"/>
        <v>19231.796691536339</v>
      </c>
      <c r="F319" s="617"/>
      <c r="G319" s="630">
        <f t="shared" si="36"/>
        <v>29045.560325150942</v>
      </c>
      <c r="H319" s="630"/>
      <c r="I319" s="617">
        <f t="shared" si="37"/>
        <v>2535193.9985463615</v>
      </c>
      <c r="J319" s="617"/>
      <c r="K319" s="630">
        <f t="shared" si="38"/>
        <v>15425067.542534143</v>
      </c>
      <c r="L319" s="630"/>
      <c r="M319" s="633" t="str">
        <f t="shared" si="39"/>
        <v>YES</v>
      </c>
      <c r="N319" s="633"/>
      <c r="O319" s="633"/>
    </row>
    <row r="320" spans="1:15" ht="20.149999999999999" customHeight="1" x14ac:dyDescent="0.35">
      <c r="A320" s="217" t="s">
        <v>360</v>
      </c>
      <c r="B320" s="19">
        <f t="shared" si="33"/>
        <v>294</v>
      </c>
      <c r="C320" s="634">
        <f t="shared" si="34"/>
        <v>48277.357016687281</v>
      </c>
      <c r="D320" s="631"/>
      <c r="E320" s="617">
        <f t="shared" si="35"/>
        <v>19013.95498909771</v>
      </c>
      <c r="F320" s="617"/>
      <c r="G320" s="630">
        <f t="shared" si="36"/>
        <v>29263.402027589571</v>
      </c>
      <c r="H320" s="630"/>
      <c r="I320" s="617">
        <f t="shared" si="37"/>
        <v>2505930.5965187717</v>
      </c>
      <c r="J320" s="617"/>
      <c r="K320" s="630">
        <f t="shared" si="38"/>
        <v>15581247.713576566</v>
      </c>
      <c r="L320" s="630"/>
      <c r="M320" s="633" t="str">
        <f t="shared" si="39"/>
        <v>YES</v>
      </c>
      <c r="N320" s="633"/>
      <c r="O320" s="633"/>
    </row>
    <row r="321" spans="1:15" ht="20.149999999999999" customHeight="1" x14ac:dyDescent="0.35">
      <c r="A321" s="217" t="s">
        <v>361</v>
      </c>
      <c r="B321" s="19">
        <f t="shared" si="33"/>
        <v>295</v>
      </c>
      <c r="C321" s="634">
        <f t="shared" si="34"/>
        <v>48277.357016687281</v>
      </c>
      <c r="D321" s="631"/>
      <c r="E321" s="617">
        <f t="shared" si="35"/>
        <v>18794.479473890788</v>
      </c>
      <c r="F321" s="617"/>
      <c r="G321" s="630">
        <f t="shared" si="36"/>
        <v>29482.877542796494</v>
      </c>
      <c r="H321" s="630"/>
      <c r="I321" s="617">
        <f t="shared" si="37"/>
        <v>2476447.7189759752</v>
      </c>
      <c r="J321" s="617"/>
      <c r="K321" s="630">
        <f t="shared" si="38"/>
        <v>15738909.8459225</v>
      </c>
      <c r="L321" s="630"/>
      <c r="M321" s="633" t="str">
        <f t="shared" si="39"/>
        <v>YES</v>
      </c>
      <c r="N321" s="633"/>
      <c r="O321" s="633"/>
    </row>
    <row r="322" spans="1:15" ht="20.149999999999999" customHeight="1" x14ac:dyDescent="0.35">
      <c r="A322" s="217" t="s">
        <v>360</v>
      </c>
      <c r="B322" s="19">
        <f t="shared" si="33"/>
        <v>296</v>
      </c>
      <c r="C322" s="634">
        <f t="shared" si="34"/>
        <v>48277.357016687281</v>
      </c>
      <c r="D322" s="631"/>
      <c r="E322" s="617">
        <f t="shared" si="35"/>
        <v>18573.357892319811</v>
      </c>
      <c r="F322" s="617"/>
      <c r="G322" s="630">
        <f t="shared" si="36"/>
        <v>29703.99912436747</v>
      </c>
      <c r="H322" s="630"/>
      <c r="I322" s="617">
        <f t="shared" si="37"/>
        <v>2446743.7198516079</v>
      </c>
      <c r="J322" s="617"/>
      <c r="K322" s="630">
        <f t="shared" si="38"/>
        <v>15898068.001595888</v>
      </c>
      <c r="L322" s="630"/>
      <c r="M322" s="633" t="str">
        <f t="shared" si="39"/>
        <v>YES</v>
      </c>
      <c r="N322" s="633"/>
      <c r="O322" s="633"/>
    </row>
    <row r="323" spans="1:15" ht="20.149999999999999" customHeight="1" x14ac:dyDescent="0.35">
      <c r="A323" s="217" t="s">
        <v>361</v>
      </c>
      <c r="B323" s="19">
        <f t="shared" si="33"/>
        <v>297</v>
      </c>
      <c r="C323" s="634">
        <f t="shared" si="34"/>
        <v>48277.357016687281</v>
      </c>
      <c r="D323" s="631"/>
      <c r="E323" s="617">
        <f t="shared" si="35"/>
        <v>18350.577898887059</v>
      </c>
      <c r="F323" s="617"/>
      <c r="G323" s="630">
        <f t="shared" si="36"/>
        <v>29926.779117800223</v>
      </c>
      <c r="H323" s="630"/>
      <c r="I323" s="617">
        <f t="shared" si="37"/>
        <v>2416816.9407338076</v>
      </c>
      <c r="J323" s="617"/>
      <c r="K323" s="630">
        <f t="shared" si="38"/>
        <v>16058736.376052311</v>
      </c>
      <c r="L323" s="630"/>
      <c r="M323" s="633" t="str">
        <f t="shared" si="39"/>
        <v>YES</v>
      </c>
      <c r="N323" s="633"/>
      <c r="O323" s="633"/>
    </row>
    <row r="324" spans="1:15" ht="20.149999999999999" customHeight="1" x14ac:dyDescent="0.35">
      <c r="A324" s="217" t="s">
        <v>360</v>
      </c>
      <c r="B324" s="19">
        <f t="shared" si="33"/>
        <v>298</v>
      </c>
      <c r="C324" s="634">
        <f t="shared" si="34"/>
        <v>48277.357016687281</v>
      </c>
      <c r="D324" s="631"/>
      <c r="E324" s="617">
        <f t="shared" si="35"/>
        <v>18126.127055503555</v>
      </c>
      <c r="F324" s="617"/>
      <c r="G324" s="630">
        <f t="shared" si="36"/>
        <v>30151.229961183726</v>
      </c>
      <c r="H324" s="630"/>
      <c r="I324" s="617">
        <f t="shared" si="37"/>
        <v>2386665.7107726238</v>
      </c>
      <c r="J324" s="617"/>
      <c r="K324" s="630">
        <f t="shared" si="38"/>
        <v>16220929.299445087</v>
      </c>
      <c r="L324" s="630"/>
      <c r="M324" s="633" t="str">
        <f t="shared" si="39"/>
        <v>YES</v>
      </c>
      <c r="N324" s="633"/>
      <c r="O324" s="633"/>
    </row>
    <row r="325" spans="1:15" ht="20.149999999999999" customHeight="1" x14ac:dyDescent="0.35">
      <c r="A325" s="217" t="s">
        <v>361</v>
      </c>
      <c r="B325" s="19">
        <f t="shared" si="33"/>
        <v>299</v>
      </c>
      <c r="C325" s="634">
        <f t="shared" si="34"/>
        <v>48277.357016687281</v>
      </c>
      <c r="D325" s="631"/>
      <c r="E325" s="617">
        <f t="shared" si="35"/>
        <v>17899.992830794679</v>
      </c>
      <c r="F325" s="617"/>
      <c r="G325" s="630">
        <f t="shared" si="36"/>
        <v>30377.364185892602</v>
      </c>
      <c r="H325" s="630"/>
      <c r="I325" s="617">
        <f t="shared" si="37"/>
        <v>2356288.3465867313</v>
      </c>
      <c r="J325" s="617"/>
      <c r="K325" s="630">
        <f t="shared" si="38"/>
        <v>16384661.237903392</v>
      </c>
      <c r="L325" s="630"/>
      <c r="M325" s="633" t="str">
        <f t="shared" si="39"/>
        <v>YES</v>
      </c>
      <c r="N325" s="633"/>
      <c r="O325" s="633"/>
    </row>
    <row r="326" spans="1:15" ht="20.149999999999999" customHeight="1" x14ac:dyDescent="0.35">
      <c r="A326" s="217" t="s">
        <v>360</v>
      </c>
      <c r="B326" s="19">
        <f t="shared" si="33"/>
        <v>300</v>
      </c>
      <c r="C326" s="634">
        <f t="shared" si="34"/>
        <v>48277.357016687281</v>
      </c>
      <c r="D326" s="631"/>
      <c r="E326" s="617">
        <f t="shared" si="35"/>
        <v>17672.162599400483</v>
      </c>
      <c r="F326" s="617"/>
      <c r="G326" s="630">
        <f t="shared" si="36"/>
        <v>30605.194417286799</v>
      </c>
      <c r="H326" s="630"/>
      <c r="I326" s="617">
        <f t="shared" si="37"/>
        <v>2325683.1521694446</v>
      </c>
      <c r="J326" s="617"/>
      <c r="K326" s="630">
        <f t="shared" si="38"/>
        <v>16549946.794822505</v>
      </c>
      <c r="L326" s="630"/>
      <c r="M326" s="633" t="str">
        <f t="shared" si="39"/>
        <v>YES</v>
      </c>
      <c r="N326" s="633"/>
      <c r="O326" s="633"/>
    </row>
    <row r="327" spans="1:15" ht="20.149999999999999" customHeight="1" x14ac:dyDescent="0.35">
      <c r="A327" s="217" t="s">
        <v>361</v>
      </c>
      <c r="B327" s="19">
        <f t="shared" si="33"/>
        <v>301</v>
      </c>
      <c r="C327" s="634">
        <f t="shared" si="34"/>
        <v>48277.357016687281</v>
      </c>
      <c r="D327" s="631"/>
      <c r="E327" s="617">
        <f t="shared" si="35"/>
        <v>17442.623641270835</v>
      </c>
      <c r="F327" s="617"/>
      <c r="G327" s="630">
        <f t="shared" si="36"/>
        <v>30834.733375416447</v>
      </c>
      <c r="H327" s="630"/>
      <c r="I327" s="617">
        <f t="shared" si="37"/>
        <v>2294848.418794028</v>
      </c>
      <c r="J327" s="617"/>
      <c r="K327" s="630">
        <f t="shared" si="38"/>
        <v>16716800.7121663</v>
      </c>
      <c r="L327" s="630"/>
      <c r="M327" s="633" t="str">
        <f t="shared" si="39"/>
        <v>YES</v>
      </c>
      <c r="N327" s="633"/>
      <c r="O327" s="633"/>
    </row>
    <row r="328" spans="1:15" ht="20.149999999999999" customHeight="1" x14ac:dyDescent="0.35">
      <c r="A328" s="217" t="s">
        <v>360</v>
      </c>
      <c r="B328" s="19">
        <f t="shared" si="33"/>
        <v>302</v>
      </c>
      <c r="C328" s="634">
        <f t="shared" si="34"/>
        <v>48277.357016687281</v>
      </c>
      <c r="D328" s="631"/>
      <c r="E328" s="617">
        <f t="shared" si="35"/>
        <v>17211.363140955207</v>
      </c>
      <c r="F328" s="617"/>
      <c r="G328" s="630">
        <f t="shared" si="36"/>
        <v>31065.993875732074</v>
      </c>
      <c r="H328" s="630"/>
      <c r="I328" s="617">
        <f t="shared" si="37"/>
        <v>2263782.4249182958</v>
      </c>
      <c r="J328" s="617"/>
      <c r="K328" s="630">
        <f t="shared" si="38"/>
        <v>16885237.871782094</v>
      </c>
      <c r="L328" s="630"/>
      <c r="M328" s="633" t="str">
        <f t="shared" si="39"/>
        <v>YES</v>
      </c>
      <c r="N328" s="633"/>
      <c r="O328" s="633"/>
    </row>
    <row r="329" spans="1:15" ht="20.149999999999999" customHeight="1" x14ac:dyDescent="0.35">
      <c r="A329" s="217" t="s">
        <v>361</v>
      </c>
      <c r="B329" s="19">
        <f t="shared" si="33"/>
        <v>303</v>
      </c>
      <c r="C329" s="634">
        <f t="shared" si="34"/>
        <v>48277.357016687281</v>
      </c>
      <c r="D329" s="631"/>
      <c r="E329" s="617">
        <f t="shared" si="35"/>
        <v>16978.368186887219</v>
      </c>
      <c r="F329" s="617"/>
      <c r="G329" s="630">
        <f t="shared" si="36"/>
        <v>31298.988829800062</v>
      </c>
      <c r="H329" s="630"/>
      <c r="I329" s="617">
        <f t="shared" si="37"/>
        <v>2232483.4360884959</v>
      </c>
      <c r="J329" s="617"/>
      <c r="K329" s="630">
        <f t="shared" si="38"/>
        <v>17055273.29672797</v>
      </c>
      <c r="L329" s="630"/>
      <c r="M329" s="633" t="str">
        <f t="shared" si="39"/>
        <v>YES</v>
      </c>
      <c r="N329" s="633"/>
      <c r="O329" s="633"/>
    </row>
    <row r="330" spans="1:15" ht="20.149999999999999" customHeight="1" x14ac:dyDescent="0.35">
      <c r="A330" s="217" t="s">
        <v>360</v>
      </c>
      <c r="B330" s="19">
        <f t="shared" si="33"/>
        <v>304</v>
      </c>
      <c r="C330" s="634">
        <f t="shared" si="34"/>
        <v>48277.357016687281</v>
      </c>
      <c r="D330" s="631"/>
      <c r="E330" s="617">
        <f t="shared" si="35"/>
        <v>16743.625770663719</v>
      </c>
      <c r="F330" s="617"/>
      <c r="G330" s="630">
        <f t="shared" si="36"/>
        <v>31533.731246023563</v>
      </c>
      <c r="H330" s="630"/>
      <c r="I330" s="617">
        <f t="shared" si="37"/>
        <v>2200949.7048424724</v>
      </c>
      <c r="J330" s="617"/>
      <c r="K330" s="630">
        <f t="shared" si="38"/>
        <v>17226922.152612701</v>
      </c>
      <c r="L330" s="630"/>
      <c r="M330" s="633" t="str">
        <f t="shared" si="39"/>
        <v>YES</v>
      </c>
      <c r="N330" s="633"/>
      <c r="O330" s="633"/>
    </row>
    <row r="331" spans="1:15" ht="20.149999999999999" customHeight="1" x14ac:dyDescent="0.35">
      <c r="A331" s="217" t="s">
        <v>361</v>
      </c>
      <c r="B331" s="19">
        <f t="shared" si="33"/>
        <v>305</v>
      </c>
      <c r="C331" s="634">
        <f t="shared" si="34"/>
        <v>48277.357016687281</v>
      </c>
      <c r="D331" s="631"/>
      <c r="E331" s="617">
        <f t="shared" si="35"/>
        <v>16507.122786318545</v>
      </c>
      <c r="F331" s="617"/>
      <c r="G331" s="630">
        <f t="shared" si="36"/>
        <v>31770.234230368736</v>
      </c>
      <c r="H331" s="630"/>
      <c r="I331" s="617">
        <f t="shared" si="37"/>
        <v>2169179.4706121036</v>
      </c>
      <c r="J331" s="617"/>
      <c r="K331" s="630">
        <f t="shared" si="38"/>
        <v>17400199.74894838</v>
      </c>
      <c r="L331" s="630"/>
      <c r="M331" s="633" t="str">
        <f t="shared" si="39"/>
        <v>YES</v>
      </c>
      <c r="N331" s="633"/>
      <c r="O331" s="633"/>
    </row>
    <row r="332" spans="1:15" ht="20.149999999999999" customHeight="1" x14ac:dyDescent="0.35">
      <c r="A332" s="217" t="s">
        <v>360</v>
      </c>
      <c r="B332" s="19">
        <f t="shared" si="33"/>
        <v>306</v>
      </c>
      <c r="C332" s="634">
        <f t="shared" si="34"/>
        <v>48277.357016687281</v>
      </c>
      <c r="D332" s="631"/>
      <c r="E332" s="617">
        <f t="shared" si="35"/>
        <v>16268.846029590777</v>
      </c>
      <c r="F332" s="617"/>
      <c r="G332" s="630">
        <f t="shared" si="36"/>
        <v>32008.510987096503</v>
      </c>
      <c r="H332" s="630"/>
      <c r="I332" s="617">
        <f t="shared" si="37"/>
        <v>2137170.9596250071</v>
      </c>
      <c r="J332" s="617"/>
      <c r="K332" s="630">
        <f t="shared" si="38"/>
        <v>17575121.540515892</v>
      </c>
      <c r="L332" s="630"/>
      <c r="M332" s="633" t="str">
        <f t="shared" si="39"/>
        <v>YES</v>
      </c>
      <c r="N332" s="633"/>
      <c r="O332" s="633"/>
    </row>
    <row r="333" spans="1:15" ht="20.149999999999999" customHeight="1" x14ac:dyDescent="0.35">
      <c r="A333" s="217" t="s">
        <v>361</v>
      </c>
      <c r="B333" s="19">
        <f t="shared" si="33"/>
        <v>307</v>
      </c>
      <c r="C333" s="634">
        <f t="shared" si="34"/>
        <v>48277.357016687281</v>
      </c>
      <c r="D333" s="631"/>
      <c r="E333" s="617">
        <f t="shared" si="35"/>
        <v>16028.782197187553</v>
      </c>
      <c r="F333" s="617"/>
      <c r="G333" s="630">
        <f t="shared" si="36"/>
        <v>32248.574819499729</v>
      </c>
      <c r="H333" s="630"/>
      <c r="I333" s="617">
        <f t="shared" si="37"/>
        <v>2104922.3848055075</v>
      </c>
      <c r="J333" s="617"/>
      <c r="K333" s="630">
        <f t="shared" si="38"/>
        <v>17751703.128743336</v>
      </c>
      <c r="L333" s="630"/>
      <c r="M333" s="633" t="str">
        <f t="shared" si="39"/>
        <v>YES</v>
      </c>
      <c r="N333" s="633"/>
      <c r="O333" s="633"/>
    </row>
    <row r="334" spans="1:15" ht="20.149999999999999" customHeight="1" x14ac:dyDescent="0.35">
      <c r="A334" s="217" t="s">
        <v>360</v>
      </c>
      <c r="B334" s="19">
        <f t="shared" si="33"/>
        <v>308</v>
      </c>
      <c r="C334" s="634">
        <f t="shared" si="34"/>
        <v>48277.357016687281</v>
      </c>
      <c r="D334" s="631"/>
      <c r="E334" s="617">
        <f t="shared" si="35"/>
        <v>15786.917886041307</v>
      </c>
      <c r="F334" s="617"/>
      <c r="G334" s="630">
        <f t="shared" si="36"/>
        <v>32490.439130645973</v>
      </c>
      <c r="H334" s="630"/>
      <c r="I334" s="617">
        <f t="shared" si="37"/>
        <v>2072431.9456748615</v>
      </c>
      <c r="J334" s="617"/>
      <c r="K334" s="630">
        <f t="shared" si="38"/>
        <v>17929960.263097528</v>
      </c>
      <c r="L334" s="630"/>
      <c r="M334" s="633" t="str">
        <f t="shared" si="39"/>
        <v>YES</v>
      </c>
      <c r="N334" s="633"/>
      <c r="O334" s="633"/>
    </row>
    <row r="335" spans="1:15" ht="20.149999999999999" customHeight="1" x14ac:dyDescent="0.35">
      <c r="A335" s="217" t="s">
        <v>361</v>
      </c>
      <c r="B335" s="19">
        <f t="shared" si="33"/>
        <v>309</v>
      </c>
      <c r="C335" s="634">
        <f t="shared" si="34"/>
        <v>48277.357016687281</v>
      </c>
      <c r="D335" s="631"/>
      <c r="E335" s="617">
        <f t="shared" si="35"/>
        <v>15543.239592561462</v>
      </c>
      <c r="F335" s="617"/>
      <c r="G335" s="630">
        <f t="shared" si="36"/>
        <v>32734.11742412582</v>
      </c>
      <c r="H335" s="630"/>
      <c r="I335" s="617">
        <f t="shared" si="37"/>
        <v>2039697.8282507358</v>
      </c>
      <c r="J335" s="617"/>
      <c r="K335" s="630">
        <f t="shared" si="38"/>
        <v>18109908.842488721</v>
      </c>
      <c r="L335" s="630"/>
      <c r="M335" s="633" t="str">
        <f t="shared" si="39"/>
        <v>YES</v>
      </c>
      <c r="N335" s="633"/>
      <c r="O335" s="633"/>
    </row>
    <row r="336" spans="1:15" ht="20.149999999999999" customHeight="1" x14ac:dyDescent="0.35">
      <c r="A336" s="217" t="s">
        <v>360</v>
      </c>
      <c r="B336" s="19">
        <f t="shared" si="33"/>
        <v>310</v>
      </c>
      <c r="C336" s="634">
        <f t="shared" si="34"/>
        <v>48277.357016687281</v>
      </c>
      <c r="D336" s="631"/>
      <c r="E336" s="617">
        <f t="shared" si="35"/>
        <v>15297.733711880517</v>
      </c>
      <c r="F336" s="617"/>
      <c r="G336" s="630">
        <f t="shared" si="36"/>
        <v>32979.623304806766</v>
      </c>
      <c r="H336" s="630"/>
      <c r="I336" s="617">
        <f t="shared" si="37"/>
        <v>2006718.2049459289</v>
      </c>
      <c r="J336" s="617"/>
      <c r="K336" s="630">
        <f t="shared" si="38"/>
        <v>18291564.916688628</v>
      </c>
      <c r="L336" s="630"/>
      <c r="M336" s="633" t="str">
        <f t="shared" si="39"/>
        <v>YES</v>
      </c>
      <c r="N336" s="633"/>
      <c r="O336" s="633"/>
    </row>
    <row r="337" spans="1:15" ht="20.149999999999999" customHeight="1" x14ac:dyDescent="0.35">
      <c r="A337" s="217" t="s">
        <v>361</v>
      </c>
      <c r="B337" s="19">
        <f t="shared" si="33"/>
        <v>311</v>
      </c>
      <c r="C337" s="634">
        <f t="shared" si="34"/>
        <v>48277.357016687281</v>
      </c>
      <c r="D337" s="631"/>
      <c r="E337" s="617">
        <f t="shared" si="35"/>
        <v>15050.386537094468</v>
      </c>
      <c r="F337" s="617"/>
      <c r="G337" s="630">
        <f t="shared" si="36"/>
        <v>33226.970479592812</v>
      </c>
      <c r="H337" s="630"/>
      <c r="I337" s="617">
        <f t="shared" si="37"/>
        <v>1973491.234466336</v>
      </c>
      <c r="J337" s="617"/>
      <c r="K337" s="630">
        <f t="shared" si="38"/>
        <v>18474944.687761929</v>
      </c>
      <c r="L337" s="630"/>
      <c r="M337" s="633" t="str">
        <f t="shared" si="39"/>
        <v>YES</v>
      </c>
      <c r="N337" s="633"/>
      <c r="O337" s="633"/>
    </row>
    <row r="338" spans="1:15" ht="20.149999999999999" customHeight="1" x14ac:dyDescent="0.35">
      <c r="A338" s="217" t="s">
        <v>360</v>
      </c>
      <c r="B338" s="19">
        <f t="shared" si="33"/>
        <v>312</v>
      </c>
      <c r="C338" s="634">
        <f t="shared" si="34"/>
        <v>48277.357016687281</v>
      </c>
      <c r="D338" s="631"/>
      <c r="E338" s="617">
        <f t="shared" si="35"/>
        <v>14801.184258497518</v>
      </c>
      <c r="F338" s="617"/>
      <c r="G338" s="630">
        <f t="shared" si="36"/>
        <v>33476.172758189765</v>
      </c>
      <c r="H338" s="630"/>
      <c r="I338" s="617">
        <f t="shared" si="37"/>
        <v>1940015.0617081462</v>
      </c>
      <c r="J338" s="617"/>
      <c r="K338" s="630">
        <f t="shared" si="38"/>
        <v>18660064.511511333</v>
      </c>
      <c r="L338" s="630"/>
      <c r="M338" s="633" t="str">
        <f t="shared" si="39"/>
        <v>YES</v>
      </c>
      <c r="N338" s="633"/>
      <c r="O338" s="633"/>
    </row>
    <row r="339" spans="1:15" ht="20.149999999999999" customHeight="1" x14ac:dyDescent="0.35">
      <c r="A339" s="217" t="s">
        <v>361</v>
      </c>
      <c r="B339" s="19">
        <f t="shared" si="33"/>
        <v>313</v>
      </c>
      <c r="C339" s="634">
        <f t="shared" si="34"/>
        <v>48277.357016687281</v>
      </c>
      <c r="D339" s="631"/>
      <c r="E339" s="617">
        <f t="shared" si="35"/>
        <v>14550.112962811096</v>
      </c>
      <c r="F339" s="617"/>
      <c r="G339" s="630">
        <f t="shared" si="36"/>
        <v>33727.244053876188</v>
      </c>
      <c r="H339" s="630"/>
      <c r="I339" s="617">
        <f t="shared" si="37"/>
        <v>1906287.81765427</v>
      </c>
      <c r="J339" s="617"/>
      <c r="K339" s="630">
        <f t="shared" si="38"/>
        <v>18846940.898936383</v>
      </c>
      <c r="L339" s="630"/>
      <c r="M339" s="633" t="str">
        <f t="shared" si="39"/>
        <v>YES</v>
      </c>
      <c r="N339" s="633"/>
      <c r="O339" s="633"/>
    </row>
    <row r="340" spans="1:15" ht="20.149999999999999" customHeight="1" x14ac:dyDescent="0.35">
      <c r="A340" s="217" t="s">
        <v>360</v>
      </c>
      <c r="B340" s="19">
        <f t="shared" si="33"/>
        <v>314</v>
      </c>
      <c r="C340" s="634">
        <f t="shared" si="34"/>
        <v>48277.357016687281</v>
      </c>
      <c r="D340" s="631"/>
      <c r="E340" s="617">
        <f t="shared" si="35"/>
        <v>14297.158632407025</v>
      </c>
      <c r="F340" s="617"/>
      <c r="G340" s="630">
        <f t="shared" si="36"/>
        <v>33980.198384280258</v>
      </c>
      <c r="H340" s="630"/>
      <c r="I340" s="617">
        <f t="shared" si="37"/>
        <v>1872307.6192699897</v>
      </c>
      <c r="J340" s="617"/>
      <c r="K340" s="630">
        <f t="shared" si="38"/>
        <v>19035590.517706074</v>
      </c>
      <c r="L340" s="630"/>
      <c r="M340" s="633" t="str">
        <f t="shared" si="39"/>
        <v>YES</v>
      </c>
      <c r="N340" s="633"/>
      <c r="O340" s="633"/>
    </row>
    <row r="341" spans="1:15" ht="20.149999999999999" customHeight="1" x14ac:dyDescent="0.35">
      <c r="A341" s="217" t="s">
        <v>361</v>
      </c>
      <c r="B341" s="19">
        <f t="shared" si="33"/>
        <v>315</v>
      </c>
      <c r="C341" s="634">
        <f t="shared" si="34"/>
        <v>48277.357016687281</v>
      </c>
      <c r="D341" s="631"/>
      <c r="E341" s="617">
        <f t="shared" si="35"/>
        <v>14042.307144524922</v>
      </c>
      <c r="F341" s="617"/>
      <c r="G341" s="630">
        <f t="shared" si="36"/>
        <v>34235.049872162359</v>
      </c>
      <c r="H341" s="630"/>
      <c r="I341" s="617">
        <f t="shared" si="37"/>
        <v>1838072.5693978274</v>
      </c>
      <c r="J341" s="617"/>
      <c r="K341" s="630">
        <f t="shared" si="38"/>
        <v>19226030.193645455</v>
      </c>
      <c r="L341" s="630"/>
      <c r="M341" s="633" t="str">
        <f t="shared" si="39"/>
        <v>YES</v>
      </c>
      <c r="N341" s="633"/>
      <c r="O341" s="633"/>
    </row>
    <row r="342" spans="1:15" ht="20.149999999999999" customHeight="1" x14ac:dyDescent="0.35">
      <c r="A342" s="217" t="s">
        <v>360</v>
      </c>
      <c r="B342" s="19">
        <f t="shared" si="33"/>
        <v>316</v>
      </c>
      <c r="C342" s="634">
        <f t="shared" si="34"/>
        <v>48277.357016687281</v>
      </c>
      <c r="D342" s="631"/>
      <c r="E342" s="617">
        <f t="shared" si="35"/>
        <v>13785.544270483704</v>
      </c>
      <c r="F342" s="617"/>
      <c r="G342" s="630">
        <f t="shared" si="36"/>
        <v>34491.812746203577</v>
      </c>
      <c r="H342" s="630"/>
      <c r="I342" s="617">
        <f t="shared" si="37"/>
        <v>1803580.7566516239</v>
      </c>
      <c r="J342" s="617"/>
      <c r="K342" s="630">
        <f t="shared" si="38"/>
        <v>19418276.912236355</v>
      </c>
      <c r="L342" s="630"/>
      <c r="M342" s="633" t="str">
        <f t="shared" si="39"/>
        <v>YES</v>
      </c>
      <c r="N342" s="633"/>
      <c r="O342" s="633"/>
    </row>
    <row r="343" spans="1:15" ht="20.149999999999999" customHeight="1" x14ac:dyDescent="0.35">
      <c r="A343" s="217" t="s">
        <v>361</v>
      </c>
      <c r="B343" s="19">
        <f t="shared" si="33"/>
        <v>317</v>
      </c>
      <c r="C343" s="634">
        <f t="shared" si="34"/>
        <v>48277.357016687281</v>
      </c>
      <c r="D343" s="631"/>
      <c r="E343" s="617">
        <f t="shared" si="35"/>
        <v>13526.855674887178</v>
      </c>
      <c r="F343" s="617"/>
      <c r="G343" s="630">
        <f t="shared" si="36"/>
        <v>34750.501341800104</v>
      </c>
      <c r="H343" s="630"/>
      <c r="I343" s="617">
        <f t="shared" si="37"/>
        <v>1768830.2553098237</v>
      </c>
      <c r="J343" s="617"/>
      <c r="K343" s="630">
        <f t="shared" si="38"/>
        <v>19612347.820132319</v>
      </c>
      <c r="L343" s="630"/>
      <c r="M343" s="633" t="str">
        <f t="shared" si="39"/>
        <v>YES</v>
      </c>
      <c r="N343" s="633"/>
      <c r="O343" s="633"/>
    </row>
    <row r="344" spans="1:15" ht="20.149999999999999" customHeight="1" x14ac:dyDescent="0.35">
      <c r="A344" s="217" t="s">
        <v>360</v>
      </c>
      <c r="B344" s="19">
        <f t="shared" si="33"/>
        <v>318</v>
      </c>
      <c r="C344" s="634">
        <f t="shared" si="34"/>
        <v>48277.357016687281</v>
      </c>
      <c r="D344" s="631"/>
      <c r="E344" s="617">
        <f t="shared" si="35"/>
        <v>13266.226914823676</v>
      </c>
      <c r="F344" s="617"/>
      <c r="G344" s="630">
        <f t="shared" si="36"/>
        <v>35011.130101863608</v>
      </c>
      <c r="H344" s="630"/>
      <c r="I344" s="617">
        <f t="shared" si="37"/>
        <v>1733819.1252079601</v>
      </c>
      <c r="J344" s="617"/>
      <c r="K344" s="630">
        <f t="shared" si="38"/>
        <v>19808260.226687934</v>
      </c>
      <c r="L344" s="630"/>
      <c r="M344" s="633" t="str">
        <f t="shared" si="39"/>
        <v>YES</v>
      </c>
      <c r="N344" s="633"/>
      <c r="O344" s="633"/>
    </row>
    <row r="345" spans="1:15" ht="20.149999999999999" customHeight="1" x14ac:dyDescent="0.35">
      <c r="A345" s="217" t="s">
        <v>361</v>
      </c>
      <c r="B345" s="19">
        <f t="shared" si="33"/>
        <v>319</v>
      </c>
      <c r="C345" s="634">
        <f t="shared" si="34"/>
        <v>48277.357016687281</v>
      </c>
      <c r="D345" s="631"/>
      <c r="E345" s="617">
        <f t="shared" si="35"/>
        <v>13003.643439059701</v>
      </c>
      <c r="F345" s="617"/>
      <c r="G345" s="630">
        <f t="shared" si="36"/>
        <v>35273.713577627583</v>
      </c>
      <c r="H345" s="630"/>
      <c r="I345" s="617">
        <f t="shared" si="37"/>
        <v>1698545.4116303325</v>
      </c>
      <c r="J345" s="617"/>
      <c r="K345" s="630">
        <f t="shared" si="38"/>
        <v>20006031.605502669</v>
      </c>
      <c r="L345" s="630"/>
      <c r="M345" s="633" t="str">
        <f t="shared" si="39"/>
        <v>YES</v>
      </c>
      <c r="N345" s="633"/>
      <c r="O345" s="633"/>
    </row>
    <row r="346" spans="1:15" ht="20.149999999999999" customHeight="1" x14ac:dyDescent="0.35">
      <c r="A346" s="217" t="s">
        <v>360</v>
      </c>
      <c r="B346" s="19">
        <f t="shared" si="33"/>
        <v>320</v>
      </c>
      <c r="C346" s="634">
        <f t="shared" si="34"/>
        <v>48277.357016687281</v>
      </c>
      <c r="D346" s="631"/>
      <c r="E346" s="617">
        <f t="shared" si="35"/>
        <v>12739.090587227494</v>
      </c>
      <c r="F346" s="617"/>
      <c r="G346" s="630">
        <f t="shared" si="36"/>
        <v>35538.266429459785</v>
      </c>
      <c r="H346" s="630"/>
      <c r="I346" s="617">
        <f t="shared" si="37"/>
        <v>1663007.1452008728</v>
      </c>
      <c r="J346" s="617"/>
      <c r="K346" s="630">
        <f t="shared" si="38"/>
        <v>20205679.595979366</v>
      </c>
      <c r="L346" s="630"/>
      <c r="M346" s="633" t="str">
        <f t="shared" si="39"/>
        <v>YES</v>
      </c>
      <c r="N346" s="633"/>
      <c r="O346" s="633"/>
    </row>
    <row r="347" spans="1:15" ht="20.149999999999999" customHeight="1" x14ac:dyDescent="0.35">
      <c r="A347" s="217" t="s">
        <v>361</v>
      </c>
      <c r="B347" s="19">
        <f t="shared" si="33"/>
        <v>321</v>
      </c>
      <c r="C347" s="634">
        <f t="shared" si="34"/>
        <v>48277.357016687281</v>
      </c>
      <c r="D347" s="631"/>
      <c r="E347" s="617">
        <f t="shared" si="35"/>
        <v>12472.553589006546</v>
      </c>
      <c r="F347" s="617"/>
      <c r="G347" s="630">
        <f t="shared" si="36"/>
        <v>35804.803427680738</v>
      </c>
      <c r="H347" s="630"/>
      <c r="I347" s="617">
        <f t="shared" si="37"/>
        <v>1627202.3417731922</v>
      </c>
      <c r="J347" s="617"/>
      <c r="K347" s="630">
        <f t="shared" si="38"/>
        <v>20407222.004897501</v>
      </c>
      <c r="L347" s="630"/>
      <c r="M347" s="633" t="str">
        <f t="shared" si="39"/>
        <v>YES</v>
      </c>
      <c r="N347" s="633"/>
      <c r="O347" s="633"/>
    </row>
    <row r="348" spans="1:15" ht="20.149999999999999" customHeight="1" x14ac:dyDescent="0.35">
      <c r="A348" s="217" t="s">
        <v>360</v>
      </c>
      <c r="B348" s="19">
        <f t="shared" ref="B348:B386" si="40">IF(B347="","",IF(B347+1&gt;$G$14*12,"",B347+1))</f>
        <v>322</v>
      </c>
      <c r="C348" s="634">
        <f t="shared" ref="C348:C386" si="41">IF(B348="","",$G$16)</f>
        <v>48277.357016687281</v>
      </c>
      <c r="D348" s="631"/>
      <c r="E348" s="617">
        <f t="shared" ref="E348:E386" si="42">IF(B348="","",I347*$G$15/12)</f>
        <v>12204.017563298941</v>
      </c>
      <c r="F348" s="617"/>
      <c r="G348" s="630">
        <f t="shared" ref="G348:G386" si="43">IF(B348="","",$G$16-E348)</f>
        <v>36073.33945338834</v>
      </c>
      <c r="H348" s="630"/>
      <c r="I348" s="617">
        <f t="shared" ref="I348:I386" si="44">IF(B348="","",I347-G348)</f>
        <v>1591129.0023198039</v>
      </c>
      <c r="J348" s="617"/>
      <c r="K348" s="630">
        <f t="shared" ref="K348:K386" si="45">IF(B348="","",FV((1+$G$20)^(1/12)-1,1,-$G$19,-K347,1))</f>
        <v>20610676.808001399</v>
      </c>
      <c r="L348" s="630"/>
      <c r="M348" s="633" t="str">
        <f t="shared" ref="M348:M386" si="46">IF(B348="","",IF(K348&gt;=I348,"YES","NO"))</f>
        <v>YES</v>
      </c>
      <c r="N348" s="633"/>
      <c r="O348" s="633"/>
    </row>
    <row r="349" spans="1:15" ht="20.149999999999999" customHeight="1" x14ac:dyDescent="0.35">
      <c r="A349" s="217" t="s">
        <v>361</v>
      </c>
      <c r="B349" s="19">
        <f t="shared" si="40"/>
        <v>323</v>
      </c>
      <c r="C349" s="634">
        <f t="shared" si="41"/>
        <v>48277.357016687281</v>
      </c>
      <c r="D349" s="631"/>
      <c r="E349" s="617">
        <f t="shared" si="42"/>
        <v>11933.467517398529</v>
      </c>
      <c r="F349" s="617"/>
      <c r="G349" s="630">
        <f t="shared" si="43"/>
        <v>36343.889499288751</v>
      </c>
      <c r="H349" s="630"/>
      <c r="I349" s="617">
        <f t="shared" si="44"/>
        <v>1554785.1128205152</v>
      </c>
      <c r="J349" s="617"/>
      <c r="K349" s="630">
        <f t="shared" si="45"/>
        <v>20816062.151603494</v>
      </c>
      <c r="L349" s="630"/>
      <c r="M349" s="633" t="str">
        <f t="shared" si="46"/>
        <v>YES</v>
      </c>
      <c r="N349" s="633"/>
      <c r="O349" s="633"/>
    </row>
    <row r="350" spans="1:15" ht="20.149999999999999" customHeight="1" x14ac:dyDescent="0.35">
      <c r="A350" s="217" t="s">
        <v>360</v>
      </c>
      <c r="B350" s="19">
        <f t="shared" si="40"/>
        <v>324</v>
      </c>
      <c r="C350" s="634">
        <f t="shared" si="41"/>
        <v>48277.357016687281</v>
      </c>
      <c r="D350" s="631"/>
      <c r="E350" s="617">
        <f t="shared" si="42"/>
        <v>11660.888346153864</v>
      </c>
      <c r="F350" s="617"/>
      <c r="G350" s="630">
        <f t="shared" si="43"/>
        <v>36616.468670533417</v>
      </c>
      <c r="H350" s="630"/>
      <c r="I350" s="617">
        <f t="shared" si="44"/>
        <v>1518168.6441499817</v>
      </c>
      <c r="J350" s="617"/>
      <c r="K350" s="630">
        <f t="shared" si="45"/>
        <v>21023396.354202829</v>
      </c>
      <c r="L350" s="630"/>
      <c r="M350" s="633" t="str">
        <f t="shared" si="46"/>
        <v>YES</v>
      </c>
      <c r="N350" s="633"/>
      <c r="O350" s="633"/>
    </row>
    <row r="351" spans="1:15" ht="20.149999999999999" customHeight="1" x14ac:dyDescent="0.35">
      <c r="A351" s="217" t="s">
        <v>361</v>
      </c>
      <c r="B351" s="19">
        <f t="shared" si="40"/>
        <v>325</v>
      </c>
      <c r="C351" s="634">
        <f t="shared" si="41"/>
        <v>48277.357016687281</v>
      </c>
      <c r="D351" s="631"/>
      <c r="E351" s="617">
        <f t="shared" si="42"/>
        <v>11386.264831124863</v>
      </c>
      <c r="F351" s="617"/>
      <c r="G351" s="630">
        <f t="shared" si="43"/>
        <v>36891.092185562418</v>
      </c>
      <c r="H351" s="630"/>
      <c r="I351" s="617">
        <f t="shared" si="44"/>
        <v>1481277.5519644192</v>
      </c>
      <c r="J351" s="617"/>
      <c r="K351" s="630">
        <f t="shared" si="45"/>
        <v>21232697.908118885</v>
      </c>
      <c r="L351" s="630"/>
      <c r="M351" s="633" t="str">
        <f t="shared" si="46"/>
        <v>YES</v>
      </c>
      <c r="N351" s="633"/>
      <c r="O351" s="633"/>
    </row>
    <row r="352" spans="1:15" ht="20.149999999999999" customHeight="1" x14ac:dyDescent="0.35">
      <c r="A352" s="217" t="s">
        <v>360</v>
      </c>
      <c r="B352" s="19">
        <f t="shared" si="40"/>
        <v>326</v>
      </c>
      <c r="C352" s="634">
        <f t="shared" si="41"/>
        <v>48277.357016687281</v>
      </c>
      <c r="D352" s="631"/>
      <c r="E352" s="617">
        <f t="shared" si="42"/>
        <v>11109.581639733144</v>
      </c>
      <c r="F352" s="617"/>
      <c r="G352" s="630">
        <f t="shared" si="43"/>
        <v>37167.775376954138</v>
      </c>
      <c r="H352" s="630"/>
      <c r="I352" s="617">
        <f t="shared" si="44"/>
        <v>1444109.7765874651</v>
      </c>
      <c r="J352" s="617"/>
      <c r="K352" s="630">
        <f t="shared" si="45"/>
        <v>21443985.481140938</v>
      </c>
      <c r="L352" s="630"/>
      <c r="M352" s="633" t="str">
        <f t="shared" si="46"/>
        <v>YES</v>
      </c>
      <c r="N352" s="633"/>
      <c r="O352" s="633"/>
    </row>
    <row r="353" spans="1:15" ht="20.149999999999999" customHeight="1" x14ac:dyDescent="0.35">
      <c r="A353" s="217" t="s">
        <v>361</v>
      </c>
      <c r="B353" s="19">
        <f t="shared" si="40"/>
        <v>327</v>
      </c>
      <c r="C353" s="634">
        <f t="shared" si="41"/>
        <v>48277.357016687281</v>
      </c>
      <c r="D353" s="631"/>
      <c r="E353" s="617">
        <f t="shared" si="42"/>
        <v>10830.823324405987</v>
      </c>
      <c r="F353" s="617"/>
      <c r="G353" s="630">
        <f t="shared" si="43"/>
        <v>37446.533692281293</v>
      </c>
      <c r="H353" s="630"/>
      <c r="I353" s="617">
        <f t="shared" si="44"/>
        <v>1406663.2428951839</v>
      </c>
      <c r="J353" s="617"/>
      <c r="K353" s="630">
        <f t="shared" si="45"/>
        <v>21657277.918193046</v>
      </c>
      <c r="L353" s="630"/>
      <c r="M353" s="633" t="str">
        <f t="shared" si="46"/>
        <v>YES</v>
      </c>
      <c r="N353" s="633"/>
      <c r="O353" s="633"/>
    </row>
    <row r="354" spans="1:15" ht="20.149999999999999" customHeight="1" x14ac:dyDescent="0.35">
      <c r="A354" s="217" t="s">
        <v>360</v>
      </c>
      <c r="B354" s="19">
        <f t="shared" si="40"/>
        <v>328</v>
      </c>
      <c r="C354" s="634">
        <f t="shared" si="41"/>
        <v>48277.357016687281</v>
      </c>
      <c r="D354" s="631"/>
      <c r="E354" s="617">
        <f t="shared" si="42"/>
        <v>10549.974321713878</v>
      </c>
      <c r="F354" s="617"/>
      <c r="G354" s="630">
        <f t="shared" si="43"/>
        <v>37727.382694973407</v>
      </c>
      <c r="H354" s="630"/>
      <c r="I354" s="617">
        <f t="shared" si="44"/>
        <v>1368935.8602002105</v>
      </c>
      <c r="J354" s="617"/>
      <c r="K354" s="630">
        <f t="shared" si="45"/>
        <v>21872594.243014853</v>
      </c>
      <c r="L354" s="630"/>
      <c r="M354" s="633" t="str">
        <f t="shared" si="46"/>
        <v>YES</v>
      </c>
      <c r="N354" s="633"/>
      <c r="O354" s="633"/>
    </row>
    <row r="355" spans="1:15" ht="20.149999999999999" customHeight="1" x14ac:dyDescent="0.35">
      <c r="A355" s="217" t="s">
        <v>361</v>
      </c>
      <c r="B355" s="19">
        <f t="shared" si="40"/>
        <v>329</v>
      </c>
      <c r="C355" s="634">
        <f t="shared" si="41"/>
        <v>48277.357016687281</v>
      </c>
      <c r="D355" s="631"/>
      <c r="E355" s="617">
        <f t="shared" si="42"/>
        <v>10267.018951501579</v>
      </c>
      <c r="F355" s="617"/>
      <c r="G355" s="630">
        <f t="shared" si="43"/>
        <v>38010.338065185701</v>
      </c>
      <c r="H355" s="630"/>
      <c r="I355" s="617">
        <f t="shared" si="44"/>
        <v>1330925.5221350249</v>
      </c>
      <c r="J355" s="617"/>
      <c r="K355" s="630">
        <f t="shared" si="45"/>
        <v>22089953.659858331</v>
      </c>
      <c r="L355" s="630"/>
      <c r="M355" s="633" t="str">
        <f t="shared" si="46"/>
        <v>YES</v>
      </c>
      <c r="N355" s="633"/>
      <c r="O355" s="633"/>
    </row>
    <row r="356" spans="1:15" ht="20.149999999999999" customHeight="1" x14ac:dyDescent="0.35">
      <c r="A356" s="217" t="s">
        <v>360</v>
      </c>
      <c r="B356" s="19">
        <f t="shared" si="40"/>
        <v>330</v>
      </c>
      <c r="C356" s="634">
        <f t="shared" si="41"/>
        <v>48277.357016687281</v>
      </c>
      <c r="D356" s="631"/>
      <c r="E356" s="617">
        <f t="shared" si="42"/>
        <v>9981.9414160126853</v>
      </c>
      <c r="F356" s="617"/>
      <c r="G356" s="630">
        <f t="shared" si="43"/>
        <v>38295.415600674598</v>
      </c>
      <c r="H356" s="630"/>
      <c r="I356" s="617">
        <f t="shared" si="44"/>
        <v>1292630.1065343502</v>
      </c>
      <c r="J356" s="617"/>
      <c r="K356" s="630">
        <f t="shared" si="45"/>
        <v>22309375.555200618</v>
      </c>
      <c r="L356" s="630"/>
      <c r="M356" s="633" t="str">
        <f t="shared" si="46"/>
        <v>YES</v>
      </c>
      <c r="N356" s="633"/>
      <c r="O356" s="633"/>
    </row>
    <row r="357" spans="1:15" ht="20.149999999999999" customHeight="1" x14ac:dyDescent="0.35">
      <c r="A357" s="217" t="s">
        <v>361</v>
      </c>
      <c r="B357" s="19">
        <f t="shared" si="40"/>
        <v>331</v>
      </c>
      <c r="C357" s="634">
        <f t="shared" si="41"/>
        <v>48277.357016687281</v>
      </c>
      <c r="D357" s="631"/>
      <c r="E357" s="617">
        <f t="shared" si="42"/>
        <v>9694.7257990076268</v>
      </c>
      <c r="F357" s="617"/>
      <c r="G357" s="630">
        <f t="shared" si="43"/>
        <v>38582.631217679656</v>
      </c>
      <c r="H357" s="630"/>
      <c r="I357" s="617">
        <f t="shared" si="44"/>
        <v>1254047.4753166705</v>
      </c>
      <c r="J357" s="617"/>
      <c r="K357" s="630">
        <f t="shared" si="45"/>
        <v>22530879.499473121</v>
      </c>
      <c r="L357" s="630"/>
      <c r="M357" s="633" t="str">
        <f t="shared" si="46"/>
        <v>YES</v>
      </c>
      <c r="N357" s="633"/>
      <c r="O357" s="633"/>
    </row>
    <row r="358" spans="1:15" ht="20.149999999999999" customHeight="1" x14ac:dyDescent="0.35">
      <c r="A358" s="217" t="s">
        <v>360</v>
      </c>
      <c r="B358" s="19">
        <f t="shared" si="40"/>
        <v>332</v>
      </c>
      <c r="C358" s="634">
        <f t="shared" si="41"/>
        <v>48277.357016687281</v>
      </c>
      <c r="D358" s="631"/>
      <c r="E358" s="617">
        <f t="shared" si="42"/>
        <v>9405.3560648750281</v>
      </c>
      <c r="F358" s="617"/>
      <c r="G358" s="630">
        <f t="shared" si="43"/>
        <v>38872.000951812253</v>
      </c>
      <c r="H358" s="630"/>
      <c r="I358" s="617">
        <f t="shared" si="44"/>
        <v>1215175.4743648581</v>
      </c>
      <c r="J358" s="617"/>
      <c r="K358" s="630">
        <f t="shared" si="45"/>
        <v>22754485.24880702</v>
      </c>
      <c r="L358" s="630"/>
      <c r="M358" s="633" t="str">
        <f t="shared" si="46"/>
        <v>YES</v>
      </c>
      <c r="N358" s="633"/>
      <c r="O358" s="633"/>
    </row>
    <row r="359" spans="1:15" ht="20.149999999999999" customHeight="1" x14ac:dyDescent="0.35">
      <c r="A359" s="217" t="s">
        <v>361</v>
      </c>
      <c r="B359" s="19">
        <f t="shared" si="40"/>
        <v>333</v>
      </c>
      <c r="C359" s="634">
        <f t="shared" si="41"/>
        <v>48277.357016687281</v>
      </c>
      <c r="D359" s="631"/>
      <c r="E359" s="617">
        <f t="shared" si="42"/>
        <v>9113.8160577364361</v>
      </c>
      <c r="F359" s="617"/>
      <c r="G359" s="630">
        <f t="shared" si="43"/>
        <v>39163.540958950849</v>
      </c>
      <c r="H359" s="630"/>
      <c r="I359" s="617">
        <f t="shared" si="44"/>
        <v>1176011.9334059074</v>
      </c>
      <c r="J359" s="617"/>
      <c r="K359" s="630">
        <f t="shared" si="45"/>
        <v>22980212.74679533</v>
      </c>
      <c r="L359" s="630"/>
      <c r="M359" s="633" t="str">
        <f t="shared" si="46"/>
        <v>YES</v>
      </c>
      <c r="N359" s="633"/>
      <c r="O359" s="633"/>
    </row>
    <row r="360" spans="1:15" ht="20.149999999999999" customHeight="1" x14ac:dyDescent="0.35">
      <c r="A360" s="217" t="s">
        <v>360</v>
      </c>
      <c r="B360" s="19">
        <f t="shared" si="40"/>
        <v>334</v>
      </c>
      <c r="C360" s="634">
        <f t="shared" si="41"/>
        <v>48277.357016687281</v>
      </c>
      <c r="D360" s="631"/>
      <c r="E360" s="617">
        <f t="shared" si="42"/>
        <v>8820.0895005443053</v>
      </c>
      <c r="F360" s="617"/>
      <c r="G360" s="630">
        <f t="shared" si="43"/>
        <v>39457.26751614298</v>
      </c>
      <c r="H360" s="630"/>
      <c r="I360" s="617">
        <f t="shared" si="44"/>
        <v>1136554.6658897644</v>
      </c>
      <c r="J360" s="617"/>
      <c r="K360" s="630">
        <f t="shared" si="45"/>
        <v>23208082.126271695</v>
      </c>
      <c r="L360" s="630"/>
      <c r="M360" s="633" t="str">
        <f t="shared" si="46"/>
        <v>YES</v>
      </c>
      <c r="N360" s="633"/>
      <c r="O360" s="633"/>
    </row>
    <row r="361" spans="1:15" ht="20.149999999999999" customHeight="1" x14ac:dyDescent="0.35">
      <c r="A361" s="217" t="s">
        <v>361</v>
      </c>
      <c r="B361" s="19">
        <f t="shared" si="40"/>
        <v>335</v>
      </c>
      <c r="C361" s="634">
        <f t="shared" si="41"/>
        <v>48277.357016687281</v>
      </c>
      <c r="D361" s="631"/>
      <c r="E361" s="617">
        <f t="shared" si="42"/>
        <v>8524.1599941732329</v>
      </c>
      <c r="F361" s="617"/>
      <c r="G361" s="630">
        <f t="shared" si="43"/>
        <v>39753.197022514047</v>
      </c>
      <c r="H361" s="630"/>
      <c r="I361" s="617">
        <f t="shared" si="44"/>
        <v>1096801.4688672505</v>
      </c>
      <c r="J361" s="617"/>
      <c r="K361" s="630">
        <f t="shared" si="45"/>
        <v>23438113.711106043</v>
      </c>
      <c r="L361" s="630"/>
      <c r="M361" s="633" t="str">
        <f t="shared" si="46"/>
        <v>YES</v>
      </c>
      <c r="N361" s="633"/>
      <c r="O361" s="633"/>
    </row>
    <row r="362" spans="1:15" ht="20.149999999999999" customHeight="1" x14ac:dyDescent="0.35">
      <c r="A362" s="217" t="s">
        <v>360</v>
      </c>
      <c r="B362" s="19">
        <f t="shared" si="40"/>
        <v>336</v>
      </c>
      <c r="C362" s="634">
        <f t="shared" si="41"/>
        <v>48277.357016687281</v>
      </c>
      <c r="D362" s="631"/>
      <c r="E362" s="617">
        <f t="shared" si="42"/>
        <v>8226.0110165043789</v>
      </c>
      <c r="F362" s="617"/>
      <c r="G362" s="630">
        <f t="shared" si="43"/>
        <v>40051.346000182901</v>
      </c>
      <c r="H362" s="630"/>
      <c r="I362" s="617">
        <f t="shared" si="44"/>
        <v>1056750.1228670676</v>
      </c>
      <c r="J362" s="617"/>
      <c r="K362" s="630">
        <f t="shared" si="45"/>
        <v>23670328.018017296</v>
      </c>
      <c r="L362" s="630"/>
      <c r="M362" s="633" t="str">
        <f t="shared" si="46"/>
        <v>YES</v>
      </c>
      <c r="N362" s="633"/>
      <c r="O362" s="633"/>
    </row>
    <row r="363" spans="1:15" ht="20.149999999999999" customHeight="1" x14ac:dyDescent="0.35">
      <c r="A363" s="217" t="s">
        <v>361</v>
      </c>
      <c r="B363" s="19">
        <f t="shared" si="40"/>
        <v>337</v>
      </c>
      <c r="C363" s="634">
        <f t="shared" si="41"/>
        <v>48277.357016687281</v>
      </c>
      <c r="D363" s="631"/>
      <c r="E363" s="617">
        <f t="shared" si="42"/>
        <v>7925.6259215030068</v>
      </c>
      <c r="F363" s="617"/>
      <c r="G363" s="630">
        <f t="shared" si="43"/>
        <v>40351.731095184274</v>
      </c>
      <c r="H363" s="630"/>
      <c r="I363" s="617">
        <f t="shared" si="44"/>
        <v>1016398.3917718834</v>
      </c>
      <c r="J363" s="617"/>
      <c r="K363" s="630">
        <f t="shared" si="45"/>
        <v>23904745.758403279</v>
      </c>
      <c r="L363" s="630"/>
      <c r="M363" s="633" t="str">
        <f t="shared" si="46"/>
        <v>YES</v>
      </c>
      <c r="N363" s="633"/>
      <c r="O363" s="633"/>
    </row>
    <row r="364" spans="1:15" ht="20.149999999999999" customHeight="1" x14ac:dyDescent="0.35">
      <c r="A364" s="217" t="s">
        <v>360</v>
      </c>
      <c r="B364" s="19">
        <f t="shared" si="40"/>
        <v>338</v>
      </c>
      <c r="C364" s="634">
        <f t="shared" si="41"/>
        <v>48277.357016687281</v>
      </c>
      <c r="D364" s="631"/>
      <c r="E364" s="617">
        <f t="shared" si="42"/>
        <v>7622.987938289124</v>
      </c>
      <c r="F364" s="617"/>
      <c r="G364" s="630">
        <f t="shared" si="43"/>
        <v>40654.369078398158</v>
      </c>
      <c r="H364" s="630"/>
      <c r="I364" s="617">
        <f t="shared" si="44"/>
        <v>975744.02269348525</v>
      </c>
      <c r="J364" s="617"/>
      <c r="K364" s="630">
        <f t="shared" si="45"/>
        <v>24141387.840187978</v>
      </c>
      <c r="L364" s="630"/>
      <c r="M364" s="633" t="str">
        <f t="shared" si="46"/>
        <v>YES</v>
      </c>
      <c r="N364" s="633"/>
      <c r="O364" s="633"/>
    </row>
    <row r="365" spans="1:15" ht="20.149999999999999" customHeight="1" x14ac:dyDescent="0.35">
      <c r="A365" s="217" t="s">
        <v>361</v>
      </c>
      <c r="B365" s="19">
        <f t="shared" si="40"/>
        <v>339</v>
      </c>
      <c r="C365" s="634">
        <f t="shared" si="41"/>
        <v>48277.357016687281</v>
      </c>
      <c r="D365" s="631"/>
      <c r="E365" s="617">
        <f t="shared" si="42"/>
        <v>7318.0801702011386</v>
      </c>
      <c r="F365" s="617"/>
      <c r="G365" s="630">
        <f t="shared" si="43"/>
        <v>40959.276846486144</v>
      </c>
      <c r="H365" s="630"/>
      <c r="I365" s="617">
        <f t="shared" si="44"/>
        <v>934784.74584699911</v>
      </c>
      <c r="J365" s="617"/>
      <c r="K365" s="630">
        <f t="shared" si="45"/>
        <v>24380275.369686339</v>
      </c>
      <c r="L365" s="630"/>
      <c r="M365" s="633" t="str">
        <f t="shared" si="46"/>
        <v>YES</v>
      </c>
      <c r="N365" s="633"/>
      <c r="O365" s="633"/>
    </row>
    <row r="366" spans="1:15" ht="20.149999999999999" customHeight="1" x14ac:dyDescent="0.35">
      <c r="A366" s="217" t="s">
        <v>360</v>
      </c>
      <c r="B366" s="19">
        <f t="shared" si="40"/>
        <v>340</v>
      </c>
      <c r="C366" s="634">
        <f t="shared" si="41"/>
        <v>48277.357016687281</v>
      </c>
      <c r="D366" s="631"/>
      <c r="E366" s="617">
        <f t="shared" si="42"/>
        <v>7010.885593852493</v>
      </c>
      <c r="F366" s="617"/>
      <c r="G366" s="630">
        <f t="shared" si="43"/>
        <v>41266.471422834788</v>
      </c>
      <c r="H366" s="630"/>
      <c r="I366" s="617">
        <f t="shared" si="44"/>
        <v>893518.27442416432</v>
      </c>
      <c r="J366" s="617"/>
      <c r="K366" s="630">
        <f t="shared" si="45"/>
        <v>24621429.653486766</v>
      </c>
      <c r="L366" s="630"/>
      <c r="M366" s="633" t="str">
        <f t="shared" si="46"/>
        <v>YES</v>
      </c>
      <c r="N366" s="633"/>
      <c r="O366" s="633"/>
    </row>
    <row r="367" spans="1:15" ht="20.149999999999999" customHeight="1" x14ac:dyDescent="0.35">
      <c r="A367" s="217" t="s">
        <v>361</v>
      </c>
      <c r="B367" s="19">
        <f t="shared" si="40"/>
        <v>341</v>
      </c>
      <c r="C367" s="634">
        <f t="shared" si="41"/>
        <v>48277.357016687281</v>
      </c>
      <c r="D367" s="631"/>
      <c r="E367" s="617">
        <f t="shared" si="42"/>
        <v>6701.3870581812325</v>
      </c>
      <c r="F367" s="617"/>
      <c r="G367" s="630">
        <f t="shared" si="43"/>
        <v>41575.969958506052</v>
      </c>
      <c r="H367" s="630"/>
      <c r="I367" s="617">
        <f t="shared" si="44"/>
        <v>851942.30446565826</v>
      </c>
      <c r="J367" s="617"/>
      <c r="K367" s="630">
        <f t="shared" si="45"/>
        <v>24864872.200351462</v>
      </c>
      <c r="L367" s="630"/>
      <c r="M367" s="633" t="str">
        <f t="shared" si="46"/>
        <v>YES</v>
      </c>
      <c r="N367" s="633"/>
      <c r="O367" s="633"/>
    </row>
    <row r="368" spans="1:15" ht="20.25" customHeight="1" x14ac:dyDescent="0.35">
      <c r="A368" s="217" t="s">
        <v>360</v>
      </c>
      <c r="B368" s="19">
        <f t="shared" si="40"/>
        <v>342</v>
      </c>
      <c r="C368" s="634">
        <f t="shared" si="41"/>
        <v>48277.357016687281</v>
      </c>
      <c r="D368" s="631"/>
      <c r="E368" s="617">
        <f t="shared" si="42"/>
        <v>6389.5672834924371</v>
      </c>
      <c r="F368" s="617"/>
      <c r="G368" s="630">
        <f t="shared" si="43"/>
        <v>41887.789733194848</v>
      </c>
      <c r="H368" s="630"/>
      <c r="I368" s="617">
        <f t="shared" si="44"/>
        <v>810054.5147324634</v>
      </c>
      <c r="J368" s="617"/>
      <c r="K368" s="630">
        <f t="shared" si="45"/>
        <v>25110624.723134823</v>
      </c>
      <c r="L368" s="630"/>
      <c r="M368" s="633" t="str">
        <f t="shared" si="46"/>
        <v>YES</v>
      </c>
      <c r="N368" s="633"/>
      <c r="O368" s="633"/>
    </row>
    <row r="369" spans="1:15" ht="20.25" customHeight="1" x14ac:dyDescent="0.35">
      <c r="A369" s="217" t="s">
        <v>361</v>
      </c>
      <c r="B369" s="19">
        <f t="shared" si="40"/>
        <v>343</v>
      </c>
      <c r="C369" s="634">
        <f t="shared" si="41"/>
        <v>48277.357016687281</v>
      </c>
      <c r="D369" s="631"/>
      <c r="E369" s="617">
        <f t="shared" si="42"/>
        <v>6075.4088604934759</v>
      </c>
      <c r="F369" s="617"/>
      <c r="G369" s="630">
        <f t="shared" si="43"/>
        <v>42201.948156193808</v>
      </c>
      <c r="H369" s="630"/>
      <c r="I369" s="617">
        <f t="shared" si="44"/>
        <v>767852.56657626957</v>
      </c>
      <c r="J369" s="617"/>
      <c r="K369" s="630">
        <f t="shared" si="45"/>
        <v>25358709.140720028</v>
      </c>
      <c r="L369" s="630"/>
      <c r="M369" s="633" t="str">
        <f t="shared" si="46"/>
        <v>YES</v>
      </c>
      <c r="N369" s="633"/>
      <c r="O369" s="633"/>
    </row>
    <row r="370" spans="1:15" ht="20.25" customHeight="1" x14ac:dyDescent="0.35">
      <c r="A370" s="217" t="s">
        <v>360</v>
      </c>
      <c r="B370" s="19">
        <f t="shared" si="40"/>
        <v>344</v>
      </c>
      <c r="C370" s="634">
        <f t="shared" si="41"/>
        <v>48277.357016687281</v>
      </c>
      <c r="D370" s="631"/>
      <c r="E370" s="617">
        <f t="shared" si="42"/>
        <v>5758.8942493220211</v>
      </c>
      <c r="F370" s="617"/>
      <c r="G370" s="630">
        <f t="shared" si="43"/>
        <v>42518.462767365258</v>
      </c>
      <c r="H370" s="630"/>
      <c r="I370" s="617">
        <f t="shared" si="44"/>
        <v>725334.1038089043</v>
      </c>
      <c r="J370" s="617"/>
      <c r="K370" s="630">
        <f t="shared" si="45"/>
        <v>25609147.579973996</v>
      </c>
      <c r="L370" s="630"/>
      <c r="M370" s="633" t="str">
        <f t="shared" si="46"/>
        <v>YES</v>
      </c>
      <c r="N370" s="633"/>
      <c r="O370" s="633"/>
    </row>
    <row r="371" spans="1:15" ht="20.25" customHeight="1" x14ac:dyDescent="0.35">
      <c r="A371" s="217" t="s">
        <v>361</v>
      </c>
      <c r="B371" s="19">
        <f t="shared" si="40"/>
        <v>345</v>
      </c>
      <c r="C371" s="634">
        <f t="shared" si="41"/>
        <v>48277.357016687281</v>
      </c>
      <c r="D371" s="631"/>
      <c r="E371" s="617">
        <f t="shared" si="42"/>
        <v>5440.0057785667823</v>
      </c>
      <c r="F371" s="617"/>
      <c r="G371" s="630">
        <f t="shared" si="43"/>
        <v>42837.3512381205</v>
      </c>
      <c r="H371" s="630"/>
      <c r="I371" s="617">
        <f t="shared" si="44"/>
        <v>682496.75257078384</v>
      </c>
      <c r="J371" s="617"/>
      <c r="K371" s="630">
        <f t="shared" si="45"/>
        <v>25861962.377720904</v>
      </c>
      <c r="L371" s="630"/>
      <c r="M371" s="633" t="str">
        <f t="shared" si="46"/>
        <v>YES</v>
      </c>
      <c r="N371" s="633"/>
      <c r="O371" s="633"/>
    </row>
    <row r="372" spans="1:15" ht="20.25" customHeight="1" x14ac:dyDescent="0.35">
      <c r="A372" s="217" t="s">
        <v>360</v>
      </c>
      <c r="B372" s="19">
        <f t="shared" si="40"/>
        <v>346</v>
      </c>
      <c r="C372" s="634">
        <f t="shared" si="41"/>
        <v>48277.357016687281</v>
      </c>
      <c r="D372" s="631"/>
      <c r="E372" s="617">
        <f t="shared" si="42"/>
        <v>5118.7256442808784</v>
      </c>
      <c r="F372" s="617"/>
      <c r="G372" s="630">
        <f t="shared" si="43"/>
        <v>43158.631372406402</v>
      </c>
      <c r="H372" s="630"/>
      <c r="I372" s="617">
        <f t="shared" si="44"/>
        <v>639338.12119837746</v>
      </c>
      <c r="J372" s="617"/>
      <c r="K372" s="630">
        <f t="shared" si="45"/>
        <v>26117176.082734432</v>
      </c>
      <c r="L372" s="630"/>
      <c r="M372" s="633" t="str">
        <f t="shared" si="46"/>
        <v>YES</v>
      </c>
      <c r="N372" s="633"/>
      <c r="O372" s="633"/>
    </row>
    <row r="373" spans="1:15" ht="20.25" customHeight="1" x14ac:dyDescent="0.35">
      <c r="A373" s="217" t="s">
        <v>361</v>
      </c>
      <c r="B373" s="19">
        <f t="shared" si="40"/>
        <v>347</v>
      </c>
      <c r="C373" s="634">
        <f t="shared" si="41"/>
        <v>48277.357016687281</v>
      </c>
      <c r="D373" s="631"/>
      <c r="E373" s="617">
        <f t="shared" si="42"/>
        <v>4795.0359089878302</v>
      </c>
      <c r="F373" s="617"/>
      <c r="G373" s="630">
        <f t="shared" si="43"/>
        <v>43482.321107699448</v>
      </c>
      <c r="H373" s="630"/>
      <c r="I373" s="617">
        <f t="shared" si="44"/>
        <v>595855.80009067804</v>
      </c>
      <c r="J373" s="617"/>
      <c r="K373" s="630">
        <f t="shared" si="45"/>
        <v>26374811.457748901</v>
      </c>
      <c r="L373" s="630"/>
      <c r="M373" s="633" t="str">
        <f t="shared" si="46"/>
        <v>YES</v>
      </c>
      <c r="N373" s="633"/>
      <c r="O373" s="633"/>
    </row>
    <row r="374" spans="1:15" ht="20.25" customHeight="1" x14ac:dyDescent="0.35">
      <c r="A374" s="217" t="s">
        <v>360</v>
      </c>
      <c r="B374" s="19">
        <f t="shared" si="40"/>
        <v>348</v>
      </c>
      <c r="C374" s="634">
        <f t="shared" si="41"/>
        <v>48277.357016687281</v>
      </c>
      <c r="D374" s="631"/>
      <c r="E374" s="617">
        <f t="shared" si="42"/>
        <v>4468.9185006800853</v>
      </c>
      <c r="F374" s="617"/>
      <c r="G374" s="630">
        <f t="shared" si="43"/>
        <v>43808.438516007198</v>
      </c>
      <c r="H374" s="630"/>
      <c r="I374" s="617">
        <f t="shared" si="44"/>
        <v>552047.36157467088</v>
      </c>
      <c r="J374" s="617"/>
      <c r="K374" s="630">
        <f t="shared" si="45"/>
        <v>26634891.481489506</v>
      </c>
      <c r="L374" s="630"/>
      <c r="M374" s="633" t="str">
        <f t="shared" si="46"/>
        <v>YES</v>
      </c>
      <c r="N374" s="633"/>
      <c r="O374" s="633"/>
    </row>
    <row r="375" spans="1:15" ht="20.25" customHeight="1" x14ac:dyDescent="0.35">
      <c r="A375" s="217" t="s">
        <v>361</v>
      </c>
      <c r="B375" s="19">
        <f t="shared" si="40"/>
        <v>349</v>
      </c>
      <c r="C375" s="634">
        <f t="shared" si="41"/>
        <v>48277.357016687281</v>
      </c>
      <c r="D375" s="631"/>
      <c r="E375" s="617">
        <f t="shared" si="42"/>
        <v>4140.3552118100315</v>
      </c>
      <c r="F375" s="617"/>
      <c r="G375" s="630">
        <f t="shared" si="43"/>
        <v>44137.001804877247</v>
      </c>
      <c r="H375" s="630"/>
      <c r="I375" s="617">
        <f t="shared" si="44"/>
        <v>507910.35976979363</v>
      </c>
      <c r="J375" s="617"/>
      <c r="K375" s="630">
        <f t="shared" si="45"/>
        <v>26897439.350721806</v>
      </c>
      <c r="L375" s="630"/>
      <c r="M375" s="633" t="str">
        <f t="shared" si="46"/>
        <v>YES</v>
      </c>
      <c r="N375" s="633"/>
      <c r="O375" s="633"/>
    </row>
    <row r="376" spans="1:15" ht="20.25" customHeight="1" x14ac:dyDescent="0.35">
      <c r="A376" s="217" t="s">
        <v>360</v>
      </c>
      <c r="B376" s="19">
        <f t="shared" si="40"/>
        <v>350</v>
      </c>
      <c r="C376" s="634">
        <f t="shared" si="41"/>
        <v>48277.357016687281</v>
      </c>
      <c r="D376" s="631"/>
      <c r="E376" s="617">
        <f t="shared" si="42"/>
        <v>3809.3276982734519</v>
      </c>
      <c r="F376" s="617"/>
      <c r="G376" s="630">
        <f t="shared" si="43"/>
        <v>44468.029318413828</v>
      </c>
      <c r="H376" s="630"/>
      <c r="I376" s="617">
        <f t="shared" si="44"/>
        <v>463442.33045137982</v>
      </c>
      <c r="J376" s="617"/>
      <c r="K376" s="630">
        <f t="shared" si="45"/>
        <v>27162478.48232067</v>
      </c>
      <c r="L376" s="630"/>
      <c r="M376" s="633" t="str">
        <f t="shared" si="46"/>
        <v>YES</v>
      </c>
      <c r="N376" s="633"/>
      <c r="O376" s="633"/>
    </row>
    <row r="377" spans="1:15" ht="20.25" customHeight="1" x14ac:dyDescent="0.35">
      <c r="A377" s="217" t="s">
        <v>361</v>
      </c>
      <c r="B377" s="19">
        <f t="shared" si="40"/>
        <v>351</v>
      </c>
      <c r="C377" s="634">
        <f t="shared" si="41"/>
        <v>48277.357016687281</v>
      </c>
      <c r="D377" s="631"/>
      <c r="E377" s="617">
        <f t="shared" si="42"/>
        <v>3475.8174783853483</v>
      </c>
      <c r="F377" s="617"/>
      <c r="G377" s="630">
        <f t="shared" si="43"/>
        <v>44801.539538301935</v>
      </c>
      <c r="H377" s="630"/>
      <c r="I377" s="617">
        <f t="shared" si="44"/>
        <v>418640.79091307789</v>
      </c>
      <c r="J377" s="617"/>
      <c r="K377" s="630">
        <f t="shared" si="45"/>
        <v>27430032.515358835</v>
      </c>
      <c r="L377" s="630"/>
      <c r="M377" s="633" t="str">
        <f t="shared" si="46"/>
        <v>YES</v>
      </c>
      <c r="N377" s="633"/>
      <c r="O377" s="633"/>
    </row>
    <row r="378" spans="1:15" ht="20.25" customHeight="1" x14ac:dyDescent="0.35">
      <c r="A378" s="217" t="s">
        <v>360</v>
      </c>
      <c r="B378" s="19">
        <f t="shared" si="40"/>
        <v>352</v>
      </c>
      <c r="C378" s="634">
        <f t="shared" si="41"/>
        <v>48277.357016687281</v>
      </c>
      <c r="D378" s="631"/>
      <c r="E378" s="617">
        <f t="shared" si="42"/>
        <v>3139.8059318480841</v>
      </c>
      <c r="F378" s="617"/>
      <c r="G378" s="630">
        <f t="shared" si="43"/>
        <v>45137.5510848392</v>
      </c>
      <c r="H378" s="630"/>
      <c r="I378" s="617">
        <f t="shared" si="44"/>
        <v>373503.23982823867</v>
      </c>
      <c r="J378" s="617"/>
      <c r="K378" s="630">
        <f t="shared" si="45"/>
        <v>27700125.313215312</v>
      </c>
      <c r="L378" s="630"/>
      <c r="M378" s="633" t="str">
        <f t="shared" si="46"/>
        <v>YES</v>
      </c>
      <c r="N378" s="633"/>
      <c r="O378" s="633"/>
    </row>
    <row r="379" spans="1:15" ht="20.25" customHeight="1" x14ac:dyDescent="0.35">
      <c r="A379" s="217" t="s">
        <v>361</v>
      </c>
      <c r="B379" s="19">
        <f t="shared" si="40"/>
        <v>353</v>
      </c>
      <c r="C379" s="634">
        <f t="shared" si="41"/>
        <v>48277.357016687281</v>
      </c>
      <c r="D379" s="631"/>
      <c r="E379" s="617">
        <f t="shared" si="42"/>
        <v>2801.2742987117904</v>
      </c>
      <c r="F379" s="617"/>
      <c r="G379" s="630">
        <f t="shared" si="43"/>
        <v>45476.082717975492</v>
      </c>
      <c r="H379" s="630"/>
      <c r="I379" s="617">
        <f t="shared" si="44"/>
        <v>328027.15711026319</v>
      </c>
      <c r="J379" s="617"/>
      <c r="K379" s="630">
        <f t="shared" si="45"/>
        <v>27972780.965703771</v>
      </c>
      <c r="L379" s="630"/>
      <c r="M379" s="633" t="str">
        <f t="shared" si="46"/>
        <v>YES</v>
      </c>
      <c r="N379" s="633"/>
      <c r="O379" s="633"/>
    </row>
    <row r="380" spans="1:15" ht="20.25" customHeight="1" x14ac:dyDescent="0.35">
      <c r="A380" s="217" t="s">
        <v>360</v>
      </c>
      <c r="B380" s="19">
        <f t="shared" si="40"/>
        <v>354</v>
      </c>
      <c r="C380" s="634">
        <f t="shared" si="41"/>
        <v>48277.357016687281</v>
      </c>
      <c r="D380" s="631"/>
      <c r="E380" s="617">
        <f t="shared" si="42"/>
        <v>2460.2036783269737</v>
      </c>
      <c r="F380" s="617"/>
      <c r="G380" s="630">
        <f t="shared" si="43"/>
        <v>45817.153338360309</v>
      </c>
      <c r="H380" s="630"/>
      <c r="I380" s="617">
        <f t="shared" si="44"/>
        <v>282210.00377190288</v>
      </c>
      <c r="J380" s="617"/>
      <c r="K380" s="630">
        <f t="shared" si="45"/>
        <v>28248023.791221138</v>
      </c>
      <c r="L380" s="630"/>
      <c r="M380" s="633" t="str">
        <f t="shared" si="46"/>
        <v>YES</v>
      </c>
      <c r="N380" s="633"/>
      <c r="O380" s="633"/>
    </row>
    <row r="381" spans="1:15" ht="20.25" customHeight="1" x14ac:dyDescent="0.35">
      <c r="A381" s="217" t="s">
        <v>361</v>
      </c>
      <c r="B381" s="19">
        <f t="shared" si="40"/>
        <v>355</v>
      </c>
      <c r="C381" s="634">
        <f t="shared" si="41"/>
        <v>48277.357016687281</v>
      </c>
      <c r="D381" s="631"/>
      <c r="E381" s="617">
        <f t="shared" si="42"/>
        <v>2116.5750282892714</v>
      </c>
      <c r="F381" s="617"/>
      <c r="G381" s="630">
        <f t="shared" si="43"/>
        <v>46160.781988398012</v>
      </c>
      <c r="H381" s="630"/>
      <c r="I381" s="617">
        <f t="shared" si="44"/>
        <v>236049.22178350488</v>
      </c>
      <c r="J381" s="617"/>
      <c r="K381" s="630">
        <f t="shared" si="45"/>
        <v>28525878.33891657</v>
      </c>
      <c r="L381" s="630"/>
      <c r="M381" s="633" t="str">
        <f t="shared" si="46"/>
        <v>YES</v>
      </c>
      <c r="N381" s="633"/>
      <c r="O381" s="633"/>
    </row>
    <row r="382" spans="1:15" ht="20.25" customHeight="1" x14ac:dyDescent="0.35">
      <c r="A382" s="217" t="s">
        <v>360</v>
      </c>
      <c r="B382" s="19">
        <f t="shared" si="40"/>
        <v>356</v>
      </c>
      <c r="C382" s="634">
        <f t="shared" si="41"/>
        <v>48277.357016687281</v>
      </c>
      <c r="D382" s="631"/>
      <c r="E382" s="617">
        <f t="shared" si="42"/>
        <v>1770.3691633762865</v>
      </c>
      <c r="F382" s="617"/>
      <c r="G382" s="630">
        <f t="shared" si="43"/>
        <v>46506.987853310995</v>
      </c>
      <c r="H382" s="630"/>
      <c r="I382" s="617">
        <f t="shared" si="44"/>
        <v>189542.23393019388</v>
      </c>
      <c r="J382" s="617"/>
      <c r="K382" s="630">
        <f t="shared" si="45"/>
        <v>28806369.390881013</v>
      </c>
      <c r="L382" s="630"/>
      <c r="M382" s="633" t="str">
        <f t="shared" si="46"/>
        <v>YES</v>
      </c>
      <c r="N382" s="633"/>
      <c r="O382" s="633"/>
    </row>
    <row r="383" spans="1:15" ht="20.25" customHeight="1" x14ac:dyDescent="0.35">
      <c r="A383" s="217" t="s">
        <v>361</v>
      </c>
      <c r="B383" s="19">
        <f t="shared" si="40"/>
        <v>357</v>
      </c>
      <c r="C383" s="634">
        <f t="shared" si="41"/>
        <v>48277.357016687281</v>
      </c>
      <c r="D383" s="631"/>
      <c r="E383" s="617">
        <f t="shared" si="42"/>
        <v>1421.566754476454</v>
      </c>
      <c r="F383" s="617"/>
      <c r="G383" s="630">
        <f t="shared" si="43"/>
        <v>46855.79026221083</v>
      </c>
      <c r="H383" s="630"/>
      <c r="I383" s="617">
        <f t="shared" si="44"/>
        <v>142686.44366798305</v>
      </c>
      <c r="J383" s="617"/>
      <c r="K383" s="630">
        <f t="shared" si="45"/>
        <v>29089521.964357551</v>
      </c>
      <c r="L383" s="630"/>
      <c r="M383" s="633" t="str">
        <f t="shared" si="46"/>
        <v>YES</v>
      </c>
      <c r="N383" s="633"/>
      <c r="O383" s="633"/>
    </row>
    <row r="384" spans="1:15" ht="20.25" customHeight="1" x14ac:dyDescent="0.35">
      <c r="A384" s="217" t="s">
        <v>360</v>
      </c>
      <c r="B384" s="19">
        <f t="shared" si="40"/>
        <v>358</v>
      </c>
      <c r="C384" s="634">
        <f t="shared" si="41"/>
        <v>48277.357016687281</v>
      </c>
      <c r="D384" s="631"/>
      <c r="E384" s="617">
        <f t="shared" si="42"/>
        <v>1070.1483275098728</v>
      </c>
      <c r="F384" s="617"/>
      <c r="G384" s="630">
        <f t="shared" si="43"/>
        <v>47207.208689177409</v>
      </c>
      <c r="H384" s="630"/>
      <c r="I384" s="617">
        <f t="shared" si="44"/>
        <v>95479.234978805645</v>
      </c>
      <c r="J384" s="617"/>
      <c r="K384" s="630">
        <f t="shared" si="45"/>
        <v>29375361.313972704</v>
      </c>
      <c r="L384" s="630"/>
      <c r="M384" s="633" t="str">
        <f t="shared" si="46"/>
        <v>YES</v>
      </c>
      <c r="N384" s="633"/>
      <c r="O384" s="633"/>
    </row>
    <row r="385" spans="1:15" ht="20.25" customHeight="1" x14ac:dyDescent="0.35">
      <c r="A385" s="217" t="s">
        <v>361</v>
      </c>
      <c r="B385" s="19">
        <f t="shared" si="40"/>
        <v>359</v>
      </c>
      <c r="C385" s="634">
        <f t="shared" si="41"/>
        <v>48277.357016687281</v>
      </c>
      <c r="D385" s="631"/>
      <c r="E385" s="617">
        <f t="shared" si="42"/>
        <v>716.09426234104228</v>
      </c>
      <c r="F385" s="617"/>
      <c r="G385" s="630">
        <f t="shared" si="43"/>
        <v>47561.262754346237</v>
      </c>
      <c r="H385" s="630"/>
      <c r="I385" s="617">
        <f t="shared" si="44"/>
        <v>47917.972224459409</v>
      </c>
      <c r="J385" s="617"/>
      <c r="K385" s="630">
        <f t="shared" si="45"/>
        <v>29663912.93398891</v>
      </c>
      <c r="L385" s="630"/>
      <c r="M385" s="633" t="str">
        <f t="shared" si="46"/>
        <v>YES</v>
      </c>
      <c r="N385" s="633"/>
      <c r="O385" s="633"/>
    </row>
    <row r="386" spans="1:15" ht="20.25" customHeight="1" x14ac:dyDescent="0.35">
      <c r="A386" s="217" t="s">
        <v>360</v>
      </c>
      <c r="B386" s="19">
        <f t="shared" si="40"/>
        <v>360</v>
      </c>
      <c r="C386" s="634">
        <f t="shared" si="41"/>
        <v>48277.357016687281</v>
      </c>
      <c r="D386" s="631"/>
      <c r="E386" s="617">
        <f t="shared" si="42"/>
        <v>359.3847916834456</v>
      </c>
      <c r="F386" s="617"/>
      <c r="G386" s="630">
        <f t="shared" si="43"/>
        <v>47917.972225003839</v>
      </c>
      <c r="H386" s="630"/>
      <c r="I386" s="617">
        <f t="shared" si="44"/>
        <v>-5.4443080443888903E-7</v>
      </c>
      <c r="J386" s="617"/>
      <c r="K386" s="630">
        <f t="shared" si="45"/>
        <v>29955202.560578387</v>
      </c>
      <c r="L386" s="630"/>
      <c r="M386" s="633" t="str">
        <f t="shared" si="46"/>
        <v>YES</v>
      </c>
      <c r="N386" s="633"/>
      <c r="O386" s="633"/>
    </row>
    <row r="387" spans="1:15" ht="14.5" customHeight="1" x14ac:dyDescent="0.35">
      <c r="B387"/>
    </row>
    <row r="388" spans="1:15" ht="14.5" hidden="1" customHeight="1" x14ac:dyDescent="0.35">
      <c r="B388"/>
    </row>
    <row r="389" spans="1:15" ht="14.5" hidden="1" customHeight="1" x14ac:dyDescent="0.35">
      <c r="B389"/>
    </row>
    <row r="390" spans="1:15" ht="14.5" hidden="1" customHeight="1" x14ac:dyDescent="0.35">
      <c r="B390"/>
    </row>
  </sheetData>
  <mergeCells count="2202">
    <mergeCell ref="C386:D386"/>
    <mergeCell ref="C381:D381"/>
    <mergeCell ref="C382:D382"/>
    <mergeCell ref="C383:D383"/>
    <mergeCell ref="C384:D384"/>
    <mergeCell ref="C385:D385"/>
    <mergeCell ref="C376:D376"/>
    <mergeCell ref="C377:D377"/>
    <mergeCell ref="C378:D378"/>
    <mergeCell ref="C379:D379"/>
    <mergeCell ref="C380:D380"/>
    <mergeCell ref="C371:D371"/>
    <mergeCell ref="C372:D372"/>
    <mergeCell ref="C373:D373"/>
    <mergeCell ref="C374:D374"/>
    <mergeCell ref="C375:D375"/>
    <mergeCell ref="C366:D366"/>
    <mergeCell ref="C367:D367"/>
    <mergeCell ref="C368:D368"/>
    <mergeCell ref="C369:D369"/>
    <mergeCell ref="C370:D370"/>
    <mergeCell ref="C361:D361"/>
    <mergeCell ref="C362:D362"/>
    <mergeCell ref="C363:D363"/>
    <mergeCell ref="C364:D364"/>
    <mergeCell ref="C365:D365"/>
    <mergeCell ref="C356:D356"/>
    <mergeCell ref="C357:D357"/>
    <mergeCell ref="C358:D358"/>
    <mergeCell ref="C359:D359"/>
    <mergeCell ref="C360:D360"/>
    <mergeCell ref="C351:D351"/>
    <mergeCell ref="C352:D352"/>
    <mergeCell ref="C353:D353"/>
    <mergeCell ref="C354:D354"/>
    <mergeCell ref="C355:D355"/>
    <mergeCell ref="C346:D346"/>
    <mergeCell ref="C347:D347"/>
    <mergeCell ref="C348:D348"/>
    <mergeCell ref="C349:D349"/>
    <mergeCell ref="C350:D350"/>
    <mergeCell ref="C341:D341"/>
    <mergeCell ref="C342:D342"/>
    <mergeCell ref="C343:D343"/>
    <mergeCell ref="C344:D344"/>
    <mergeCell ref="C345:D345"/>
    <mergeCell ref="C336:D336"/>
    <mergeCell ref="C337:D337"/>
    <mergeCell ref="C338:D338"/>
    <mergeCell ref="C339:D339"/>
    <mergeCell ref="C340:D340"/>
    <mergeCell ref="C331:D331"/>
    <mergeCell ref="C332:D332"/>
    <mergeCell ref="C333:D333"/>
    <mergeCell ref="C334:D334"/>
    <mergeCell ref="C335:D335"/>
    <mergeCell ref="C326:D326"/>
    <mergeCell ref="C327:D327"/>
    <mergeCell ref="C328:D328"/>
    <mergeCell ref="C329:D329"/>
    <mergeCell ref="C330:D330"/>
    <mergeCell ref="C321:D321"/>
    <mergeCell ref="C322:D322"/>
    <mergeCell ref="C323:D323"/>
    <mergeCell ref="C324:D324"/>
    <mergeCell ref="C325:D325"/>
    <mergeCell ref="C316:D316"/>
    <mergeCell ref="C317:D317"/>
    <mergeCell ref="C318:D318"/>
    <mergeCell ref="C319:D319"/>
    <mergeCell ref="C320:D320"/>
    <mergeCell ref="C311:D311"/>
    <mergeCell ref="C312:D312"/>
    <mergeCell ref="C313:D313"/>
    <mergeCell ref="C314:D314"/>
    <mergeCell ref="C315:D315"/>
    <mergeCell ref="C306:D306"/>
    <mergeCell ref="C307:D307"/>
    <mergeCell ref="C308:D308"/>
    <mergeCell ref="C309:D309"/>
    <mergeCell ref="C310:D310"/>
    <mergeCell ref="C301:D301"/>
    <mergeCell ref="C302:D302"/>
    <mergeCell ref="C303:D303"/>
    <mergeCell ref="C304:D304"/>
    <mergeCell ref="C305:D305"/>
    <mergeCell ref="C296:D296"/>
    <mergeCell ref="C297:D297"/>
    <mergeCell ref="C298:D298"/>
    <mergeCell ref="C299:D299"/>
    <mergeCell ref="C300:D300"/>
    <mergeCell ref="C291:D291"/>
    <mergeCell ref="C292:D292"/>
    <mergeCell ref="C293:D293"/>
    <mergeCell ref="C294:D294"/>
    <mergeCell ref="C295:D295"/>
    <mergeCell ref="C286:D286"/>
    <mergeCell ref="C287:D287"/>
    <mergeCell ref="C288:D288"/>
    <mergeCell ref="C289:D289"/>
    <mergeCell ref="C290:D290"/>
    <mergeCell ref="C281:D281"/>
    <mergeCell ref="C282:D282"/>
    <mergeCell ref="C283:D283"/>
    <mergeCell ref="C284:D284"/>
    <mergeCell ref="C285:D285"/>
    <mergeCell ref="C276:D276"/>
    <mergeCell ref="C277:D277"/>
    <mergeCell ref="C278:D278"/>
    <mergeCell ref="C279:D279"/>
    <mergeCell ref="C280:D280"/>
    <mergeCell ref="C271:D271"/>
    <mergeCell ref="C272:D272"/>
    <mergeCell ref="C273:D273"/>
    <mergeCell ref="C274:D274"/>
    <mergeCell ref="C275:D275"/>
    <mergeCell ref="C266:D266"/>
    <mergeCell ref="C267:D267"/>
    <mergeCell ref="C268:D268"/>
    <mergeCell ref="C269:D269"/>
    <mergeCell ref="C270:D270"/>
    <mergeCell ref="C261:D261"/>
    <mergeCell ref="C262:D262"/>
    <mergeCell ref="C263:D263"/>
    <mergeCell ref="C264:D264"/>
    <mergeCell ref="C265:D265"/>
    <mergeCell ref="C256:D256"/>
    <mergeCell ref="C257:D257"/>
    <mergeCell ref="C258:D258"/>
    <mergeCell ref="C259:D259"/>
    <mergeCell ref="C260:D260"/>
    <mergeCell ref="C251:D251"/>
    <mergeCell ref="C252:D252"/>
    <mergeCell ref="C253:D253"/>
    <mergeCell ref="C254:D254"/>
    <mergeCell ref="C255:D255"/>
    <mergeCell ref="C246:D246"/>
    <mergeCell ref="C247:D247"/>
    <mergeCell ref="C248:D248"/>
    <mergeCell ref="C249:D249"/>
    <mergeCell ref="C250:D250"/>
    <mergeCell ref="C241:D241"/>
    <mergeCell ref="C242:D242"/>
    <mergeCell ref="C243:D243"/>
    <mergeCell ref="C244:D244"/>
    <mergeCell ref="C245:D245"/>
    <mergeCell ref="C236:D236"/>
    <mergeCell ref="C237:D237"/>
    <mergeCell ref="C238:D238"/>
    <mergeCell ref="C239:D239"/>
    <mergeCell ref="C240:D240"/>
    <mergeCell ref="C231:D231"/>
    <mergeCell ref="C232:D232"/>
    <mergeCell ref="C233:D233"/>
    <mergeCell ref="C234:D234"/>
    <mergeCell ref="C235:D235"/>
    <mergeCell ref="C226:D226"/>
    <mergeCell ref="C227:D227"/>
    <mergeCell ref="C228:D228"/>
    <mergeCell ref="C229:D229"/>
    <mergeCell ref="C230:D230"/>
    <mergeCell ref="C221:D221"/>
    <mergeCell ref="C222:D222"/>
    <mergeCell ref="C223:D223"/>
    <mergeCell ref="C224:D224"/>
    <mergeCell ref="C225:D225"/>
    <mergeCell ref="C216:D216"/>
    <mergeCell ref="C217:D217"/>
    <mergeCell ref="C218:D218"/>
    <mergeCell ref="C219:D219"/>
    <mergeCell ref="C220:D220"/>
    <mergeCell ref="C211:D211"/>
    <mergeCell ref="C212:D212"/>
    <mergeCell ref="C213:D213"/>
    <mergeCell ref="C214:D214"/>
    <mergeCell ref="C215:D215"/>
    <mergeCell ref="C206:D206"/>
    <mergeCell ref="C207:D207"/>
    <mergeCell ref="C208:D208"/>
    <mergeCell ref="C209:D209"/>
    <mergeCell ref="C210:D210"/>
    <mergeCell ref="C201:D201"/>
    <mergeCell ref="C202:D202"/>
    <mergeCell ref="C203:D203"/>
    <mergeCell ref="C204:D204"/>
    <mergeCell ref="C205:D205"/>
    <mergeCell ref="C196:D196"/>
    <mergeCell ref="C197:D197"/>
    <mergeCell ref="C198:D198"/>
    <mergeCell ref="C199:D199"/>
    <mergeCell ref="C200:D200"/>
    <mergeCell ref="C191:D191"/>
    <mergeCell ref="C192:D192"/>
    <mergeCell ref="C193:D193"/>
    <mergeCell ref="C194:D194"/>
    <mergeCell ref="C195:D195"/>
    <mergeCell ref="C186:D186"/>
    <mergeCell ref="C187:D187"/>
    <mergeCell ref="C188:D188"/>
    <mergeCell ref="C189:D189"/>
    <mergeCell ref="C190:D190"/>
    <mergeCell ref="C181:D181"/>
    <mergeCell ref="C182:D182"/>
    <mergeCell ref="C183:D183"/>
    <mergeCell ref="C184:D184"/>
    <mergeCell ref="C185:D185"/>
    <mergeCell ref="C176:D176"/>
    <mergeCell ref="C177:D177"/>
    <mergeCell ref="C178:D178"/>
    <mergeCell ref="C179:D179"/>
    <mergeCell ref="C180:D180"/>
    <mergeCell ref="C171:D171"/>
    <mergeCell ref="C172:D172"/>
    <mergeCell ref="C173:D173"/>
    <mergeCell ref="C174:D174"/>
    <mergeCell ref="C175:D175"/>
    <mergeCell ref="C166:D166"/>
    <mergeCell ref="C167:D167"/>
    <mergeCell ref="C168:D168"/>
    <mergeCell ref="C169:D169"/>
    <mergeCell ref="C170:D170"/>
    <mergeCell ref="C161:D161"/>
    <mergeCell ref="C162:D162"/>
    <mergeCell ref="C163:D163"/>
    <mergeCell ref="C164:D164"/>
    <mergeCell ref="C165:D165"/>
    <mergeCell ref="C156:D156"/>
    <mergeCell ref="C157:D157"/>
    <mergeCell ref="C158:D158"/>
    <mergeCell ref="C159:D159"/>
    <mergeCell ref="C160:D160"/>
    <mergeCell ref="C151:D151"/>
    <mergeCell ref="C152:D152"/>
    <mergeCell ref="C153:D153"/>
    <mergeCell ref="C154:D154"/>
    <mergeCell ref="C155:D155"/>
    <mergeCell ref="C146:D146"/>
    <mergeCell ref="C147:D147"/>
    <mergeCell ref="C148:D148"/>
    <mergeCell ref="C149:D149"/>
    <mergeCell ref="C150:D150"/>
    <mergeCell ref="C141:D141"/>
    <mergeCell ref="C142:D142"/>
    <mergeCell ref="C143:D143"/>
    <mergeCell ref="C144:D144"/>
    <mergeCell ref="C145:D145"/>
    <mergeCell ref="C136:D136"/>
    <mergeCell ref="C137:D137"/>
    <mergeCell ref="C138:D138"/>
    <mergeCell ref="C139:D139"/>
    <mergeCell ref="C140:D140"/>
    <mergeCell ref="C131:D131"/>
    <mergeCell ref="C132:D132"/>
    <mergeCell ref="C133:D133"/>
    <mergeCell ref="C134:D134"/>
    <mergeCell ref="C135:D135"/>
    <mergeCell ref="C126:D126"/>
    <mergeCell ref="C127:D127"/>
    <mergeCell ref="C128:D128"/>
    <mergeCell ref="C129:D129"/>
    <mergeCell ref="C130:D130"/>
    <mergeCell ref="C121:D121"/>
    <mergeCell ref="C122:D122"/>
    <mergeCell ref="C123:D123"/>
    <mergeCell ref="C124:D124"/>
    <mergeCell ref="C125:D125"/>
    <mergeCell ref="C116:D116"/>
    <mergeCell ref="C117:D117"/>
    <mergeCell ref="C118:D118"/>
    <mergeCell ref="C119:D119"/>
    <mergeCell ref="C120:D120"/>
    <mergeCell ref="C111:D111"/>
    <mergeCell ref="C112:D112"/>
    <mergeCell ref="C113:D113"/>
    <mergeCell ref="C114:D114"/>
    <mergeCell ref="C115:D115"/>
    <mergeCell ref="C106:D106"/>
    <mergeCell ref="C107:D107"/>
    <mergeCell ref="C108:D108"/>
    <mergeCell ref="C109:D109"/>
    <mergeCell ref="C110:D110"/>
    <mergeCell ref="C101:D101"/>
    <mergeCell ref="C102:D102"/>
    <mergeCell ref="C103:D103"/>
    <mergeCell ref="C104:D104"/>
    <mergeCell ref="C105:D105"/>
    <mergeCell ref="C96:D96"/>
    <mergeCell ref="C97:D97"/>
    <mergeCell ref="C98:D98"/>
    <mergeCell ref="C99:D99"/>
    <mergeCell ref="C100:D100"/>
    <mergeCell ref="C91:D91"/>
    <mergeCell ref="C92:D92"/>
    <mergeCell ref="C93:D93"/>
    <mergeCell ref="C94:D94"/>
    <mergeCell ref="C95:D95"/>
    <mergeCell ref="C86:D86"/>
    <mergeCell ref="C87:D87"/>
    <mergeCell ref="C88:D88"/>
    <mergeCell ref="C89:D89"/>
    <mergeCell ref="C90:D90"/>
    <mergeCell ref="C81:D81"/>
    <mergeCell ref="C82:D82"/>
    <mergeCell ref="C83:D83"/>
    <mergeCell ref="C84:D84"/>
    <mergeCell ref="C85:D85"/>
    <mergeCell ref="C76:D76"/>
    <mergeCell ref="C77:D77"/>
    <mergeCell ref="C78:D78"/>
    <mergeCell ref="C79:D79"/>
    <mergeCell ref="C80:D80"/>
    <mergeCell ref="C71:D71"/>
    <mergeCell ref="C72:D72"/>
    <mergeCell ref="C73:D73"/>
    <mergeCell ref="C74:D74"/>
    <mergeCell ref="C75:D75"/>
    <mergeCell ref="C66:D66"/>
    <mergeCell ref="C67:D67"/>
    <mergeCell ref="C68:D68"/>
    <mergeCell ref="C69:D69"/>
    <mergeCell ref="C70:D70"/>
    <mergeCell ref="C61:D61"/>
    <mergeCell ref="C62:D62"/>
    <mergeCell ref="C63:D63"/>
    <mergeCell ref="C64:D64"/>
    <mergeCell ref="C65:D65"/>
    <mergeCell ref="C56:D56"/>
    <mergeCell ref="C57:D57"/>
    <mergeCell ref="C58:D58"/>
    <mergeCell ref="C59:D59"/>
    <mergeCell ref="C60:D60"/>
    <mergeCell ref="C51:D51"/>
    <mergeCell ref="C52:D52"/>
    <mergeCell ref="C53:D53"/>
    <mergeCell ref="C54:D54"/>
    <mergeCell ref="C55:D55"/>
    <mergeCell ref="C46:D46"/>
    <mergeCell ref="C47:D47"/>
    <mergeCell ref="C48:D48"/>
    <mergeCell ref="C49:D49"/>
    <mergeCell ref="C50:D50"/>
    <mergeCell ref="C41:D41"/>
    <mergeCell ref="C42:D42"/>
    <mergeCell ref="C43:D43"/>
    <mergeCell ref="C44:D44"/>
    <mergeCell ref="C45:D45"/>
    <mergeCell ref="M386:O386"/>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M381:O381"/>
    <mergeCell ref="M382:O382"/>
    <mergeCell ref="M383:O383"/>
    <mergeCell ref="M384:O384"/>
    <mergeCell ref="M385:O385"/>
    <mergeCell ref="M376:O376"/>
    <mergeCell ref="M377:O377"/>
    <mergeCell ref="M378:O378"/>
    <mergeCell ref="M379:O379"/>
    <mergeCell ref="M380:O380"/>
    <mergeCell ref="M371:O371"/>
    <mergeCell ref="M372:O372"/>
    <mergeCell ref="M373:O373"/>
    <mergeCell ref="M374:O374"/>
    <mergeCell ref="M375:O375"/>
    <mergeCell ref="M366:O366"/>
    <mergeCell ref="M367:O367"/>
    <mergeCell ref="M368:O368"/>
    <mergeCell ref="M369:O369"/>
    <mergeCell ref="M370:O370"/>
    <mergeCell ref="M361:O361"/>
    <mergeCell ref="M362:O362"/>
    <mergeCell ref="M363:O363"/>
    <mergeCell ref="M364:O364"/>
    <mergeCell ref="M365:O365"/>
    <mergeCell ref="M356:O356"/>
    <mergeCell ref="M357:O357"/>
    <mergeCell ref="M358:O358"/>
    <mergeCell ref="M359:O359"/>
    <mergeCell ref="M360:O360"/>
    <mergeCell ref="M351:O351"/>
    <mergeCell ref="M352:O352"/>
    <mergeCell ref="M353:O353"/>
    <mergeCell ref="M354:O354"/>
    <mergeCell ref="M355:O355"/>
    <mergeCell ref="M346:O346"/>
    <mergeCell ref="M347:O347"/>
    <mergeCell ref="M348:O348"/>
    <mergeCell ref="M349:O349"/>
    <mergeCell ref="M350:O350"/>
    <mergeCell ref="M341:O341"/>
    <mergeCell ref="M342:O342"/>
    <mergeCell ref="M343:O343"/>
    <mergeCell ref="M344:O344"/>
    <mergeCell ref="M345:O345"/>
    <mergeCell ref="M336:O336"/>
    <mergeCell ref="M337:O337"/>
    <mergeCell ref="M338:O338"/>
    <mergeCell ref="M339:O339"/>
    <mergeCell ref="M340:O340"/>
    <mergeCell ref="M331:O331"/>
    <mergeCell ref="M332:O332"/>
    <mergeCell ref="M333:O333"/>
    <mergeCell ref="M334:O334"/>
    <mergeCell ref="M335:O335"/>
    <mergeCell ref="M326:O326"/>
    <mergeCell ref="M327:O327"/>
    <mergeCell ref="M328:O328"/>
    <mergeCell ref="M329:O329"/>
    <mergeCell ref="M330:O330"/>
    <mergeCell ref="M321:O321"/>
    <mergeCell ref="M322:O322"/>
    <mergeCell ref="M323:O323"/>
    <mergeCell ref="M324:O324"/>
    <mergeCell ref="M325:O325"/>
    <mergeCell ref="M316:O316"/>
    <mergeCell ref="M317:O317"/>
    <mergeCell ref="M318:O318"/>
    <mergeCell ref="M319:O319"/>
    <mergeCell ref="M320:O320"/>
    <mergeCell ref="M311:O311"/>
    <mergeCell ref="M312:O312"/>
    <mergeCell ref="M313:O313"/>
    <mergeCell ref="M314:O314"/>
    <mergeCell ref="M315:O315"/>
    <mergeCell ref="M306:O306"/>
    <mergeCell ref="M307:O307"/>
    <mergeCell ref="M308:O308"/>
    <mergeCell ref="M309:O309"/>
    <mergeCell ref="M310:O310"/>
    <mergeCell ref="M301:O301"/>
    <mergeCell ref="M302:O302"/>
    <mergeCell ref="M303:O303"/>
    <mergeCell ref="M304:O304"/>
    <mergeCell ref="M305:O305"/>
    <mergeCell ref="M296:O296"/>
    <mergeCell ref="M297:O297"/>
    <mergeCell ref="M298:O298"/>
    <mergeCell ref="M299:O299"/>
    <mergeCell ref="M300:O300"/>
    <mergeCell ref="M291:O291"/>
    <mergeCell ref="M292:O292"/>
    <mergeCell ref="M293:O293"/>
    <mergeCell ref="M294:O294"/>
    <mergeCell ref="M295:O295"/>
    <mergeCell ref="M286:O286"/>
    <mergeCell ref="M287:O287"/>
    <mergeCell ref="M288:O288"/>
    <mergeCell ref="M289:O289"/>
    <mergeCell ref="M290:O290"/>
    <mergeCell ref="M281:O281"/>
    <mergeCell ref="M282:O282"/>
    <mergeCell ref="M283:O283"/>
    <mergeCell ref="M284:O284"/>
    <mergeCell ref="M285:O285"/>
    <mergeCell ref="M276:O276"/>
    <mergeCell ref="M277:O277"/>
    <mergeCell ref="M278:O278"/>
    <mergeCell ref="M279:O279"/>
    <mergeCell ref="M280:O280"/>
    <mergeCell ref="M271:O271"/>
    <mergeCell ref="M272:O272"/>
    <mergeCell ref="M273:O273"/>
    <mergeCell ref="M274:O274"/>
    <mergeCell ref="M275:O275"/>
    <mergeCell ref="M266:O266"/>
    <mergeCell ref="M267:O267"/>
    <mergeCell ref="M268:O268"/>
    <mergeCell ref="M269:O269"/>
    <mergeCell ref="M270:O270"/>
    <mergeCell ref="M261:O261"/>
    <mergeCell ref="M262:O262"/>
    <mergeCell ref="M263:O263"/>
    <mergeCell ref="M264:O264"/>
    <mergeCell ref="M265:O265"/>
    <mergeCell ref="M256:O256"/>
    <mergeCell ref="M257:O257"/>
    <mergeCell ref="M258:O258"/>
    <mergeCell ref="M259:O259"/>
    <mergeCell ref="M260:O260"/>
    <mergeCell ref="M251:O251"/>
    <mergeCell ref="M252:O252"/>
    <mergeCell ref="M253:O253"/>
    <mergeCell ref="M254:O254"/>
    <mergeCell ref="M255:O255"/>
    <mergeCell ref="M246:O246"/>
    <mergeCell ref="M247:O247"/>
    <mergeCell ref="M248:O248"/>
    <mergeCell ref="M249:O249"/>
    <mergeCell ref="M250:O250"/>
    <mergeCell ref="M241:O241"/>
    <mergeCell ref="M242:O242"/>
    <mergeCell ref="M243:O243"/>
    <mergeCell ref="M244:O244"/>
    <mergeCell ref="M245:O245"/>
    <mergeCell ref="M236:O236"/>
    <mergeCell ref="M237:O237"/>
    <mergeCell ref="M238:O238"/>
    <mergeCell ref="M239:O239"/>
    <mergeCell ref="M240:O240"/>
    <mergeCell ref="M231:O231"/>
    <mergeCell ref="M232:O232"/>
    <mergeCell ref="M233:O233"/>
    <mergeCell ref="M234:O234"/>
    <mergeCell ref="M235:O235"/>
    <mergeCell ref="M226:O226"/>
    <mergeCell ref="M227:O227"/>
    <mergeCell ref="M228:O228"/>
    <mergeCell ref="M229:O229"/>
    <mergeCell ref="M230:O230"/>
    <mergeCell ref="M221:O221"/>
    <mergeCell ref="M222:O222"/>
    <mergeCell ref="M223:O223"/>
    <mergeCell ref="M224:O224"/>
    <mergeCell ref="M225:O225"/>
    <mergeCell ref="M216:O216"/>
    <mergeCell ref="M217:O217"/>
    <mergeCell ref="M218:O218"/>
    <mergeCell ref="M219:O219"/>
    <mergeCell ref="M220:O220"/>
    <mergeCell ref="M211:O211"/>
    <mergeCell ref="M212:O212"/>
    <mergeCell ref="M213:O213"/>
    <mergeCell ref="M214:O214"/>
    <mergeCell ref="M215:O215"/>
    <mergeCell ref="M206:O206"/>
    <mergeCell ref="M207:O207"/>
    <mergeCell ref="M208:O208"/>
    <mergeCell ref="M209:O209"/>
    <mergeCell ref="M210:O210"/>
    <mergeCell ref="M201:O201"/>
    <mergeCell ref="M202:O202"/>
    <mergeCell ref="M203:O203"/>
    <mergeCell ref="M204:O204"/>
    <mergeCell ref="M205:O205"/>
    <mergeCell ref="M196:O196"/>
    <mergeCell ref="M197:O197"/>
    <mergeCell ref="M198:O198"/>
    <mergeCell ref="M199:O199"/>
    <mergeCell ref="M200:O200"/>
    <mergeCell ref="M191:O191"/>
    <mergeCell ref="M192:O192"/>
    <mergeCell ref="M193:O193"/>
    <mergeCell ref="M194:O194"/>
    <mergeCell ref="M195:O195"/>
    <mergeCell ref="M186:O186"/>
    <mergeCell ref="M187:O187"/>
    <mergeCell ref="M188:O188"/>
    <mergeCell ref="M189:O189"/>
    <mergeCell ref="M190:O190"/>
    <mergeCell ref="M181:O181"/>
    <mergeCell ref="M182:O182"/>
    <mergeCell ref="M183:O183"/>
    <mergeCell ref="M184:O184"/>
    <mergeCell ref="M185:O185"/>
    <mergeCell ref="M176:O176"/>
    <mergeCell ref="M177:O177"/>
    <mergeCell ref="M178:O178"/>
    <mergeCell ref="M179:O179"/>
    <mergeCell ref="M180:O180"/>
    <mergeCell ref="M171:O171"/>
    <mergeCell ref="M172:O172"/>
    <mergeCell ref="M173:O173"/>
    <mergeCell ref="M174:O174"/>
    <mergeCell ref="M175:O175"/>
    <mergeCell ref="M166:O166"/>
    <mergeCell ref="M167:O167"/>
    <mergeCell ref="M168:O168"/>
    <mergeCell ref="M169:O169"/>
    <mergeCell ref="M170:O170"/>
    <mergeCell ref="M161:O161"/>
    <mergeCell ref="M162:O162"/>
    <mergeCell ref="M163:O163"/>
    <mergeCell ref="M164:O164"/>
    <mergeCell ref="M165:O165"/>
    <mergeCell ref="M156:O156"/>
    <mergeCell ref="M157:O157"/>
    <mergeCell ref="M158:O158"/>
    <mergeCell ref="M159:O159"/>
    <mergeCell ref="M160:O160"/>
    <mergeCell ref="M151:O151"/>
    <mergeCell ref="M152:O152"/>
    <mergeCell ref="M153:O153"/>
    <mergeCell ref="M154:O154"/>
    <mergeCell ref="M155:O155"/>
    <mergeCell ref="M146:O146"/>
    <mergeCell ref="M147:O147"/>
    <mergeCell ref="M148:O148"/>
    <mergeCell ref="M149:O149"/>
    <mergeCell ref="M150:O150"/>
    <mergeCell ref="M141:O141"/>
    <mergeCell ref="M142:O142"/>
    <mergeCell ref="M143:O143"/>
    <mergeCell ref="M144:O144"/>
    <mergeCell ref="M145:O145"/>
    <mergeCell ref="M136:O136"/>
    <mergeCell ref="M137:O137"/>
    <mergeCell ref="M138:O138"/>
    <mergeCell ref="M139:O139"/>
    <mergeCell ref="M140:O140"/>
    <mergeCell ref="M131:O131"/>
    <mergeCell ref="M132:O132"/>
    <mergeCell ref="M133:O133"/>
    <mergeCell ref="M134:O134"/>
    <mergeCell ref="M135:O135"/>
    <mergeCell ref="M126:O126"/>
    <mergeCell ref="M127:O127"/>
    <mergeCell ref="M128:O128"/>
    <mergeCell ref="M129:O129"/>
    <mergeCell ref="M130:O130"/>
    <mergeCell ref="M121:O121"/>
    <mergeCell ref="M122:O122"/>
    <mergeCell ref="M123:O123"/>
    <mergeCell ref="M124:O124"/>
    <mergeCell ref="M125:O125"/>
    <mergeCell ref="M116:O116"/>
    <mergeCell ref="M117:O117"/>
    <mergeCell ref="M118:O118"/>
    <mergeCell ref="M119:O119"/>
    <mergeCell ref="M120:O120"/>
    <mergeCell ref="M111:O111"/>
    <mergeCell ref="M112:O112"/>
    <mergeCell ref="M113:O113"/>
    <mergeCell ref="M114:O114"/>
    <mergeCell ref="M115:O115"/>
    <mergeCell ref="M106:O106"/>
    <mergeCell ref="M107:O107"/>
    <mergeCell ref="M108:O108"/>
    <mergeCell ref="M109:O109"/>
    <mergeCell ref="M110:O110"/>
    <mergeCell ref="M101:O101"/>
    <mergeCell ref="M102:O102"/>
    <mergeCell ref="M103:O103"/>
    <mergeCell ref="M104:O104"/>
    <mergeCell ref="M105:O105"/>
    <mergeCell ref="M96:O96"/>
    <mergeCell ref="M97:O97"/>
    <mergeCell ref="M98:O98"/>
    <mergeCell ref="M99:O99"/>
    <mergeCell ref="M100:O100"/>
    <mergeCell ref="M91:O91"/>
    <mergeCell ref="M92:O92"/>
    <mergeCell ref="M93:O93"/>
    <mergeCell ref="M94:O94"/>
    <mergeCell ref="M95:O95"/>
    <mergeCell ref="M86:O86"/>
    <mergeCell ref="M87:O87"/>
    <mergeCell ref="M88:O88"/>
    <mergeCell ref="M89:O89"/>
    <mergeCell ref="M90:O90"/>
    <mergeCell ref="M81:O81"/>
    <mergeCell ref="M82:O82"/>
    <mergeCell ref="M83:O83"/>
    <mergeCell ref="M84:O84"/>
    <mergeCell ref="M85:O85"/>
    <mergeCell ref="M76:O76"/>
    <mergeCell ref="M77:O77"/>
    <mergeCell ref="M78:O78"/>
    <mergeCell ref="M79:O79"/>
    <mergeCell ref="M80:O80"/>
    <mergeCell ref="M71:O71"/>
    <mergeCell ref="M72:O72"/>
    <mergeCell ref="M73:O73"/>
    <mergeCell ref="M74:O74"/>
    <mergeCell ref="M75:O75"/>
    <mergeCell ref="M66:O66"/>
    <mergeCell ref="M67:O67"/>
    <mergeCell ref="M68:O68"/>
    <mergeCell ref="M69:O69"/>
    <mergeCell ref="M70:O70"/>
    <mergeCell ref="M61:O61"/>
    <mergeCell ref="M62:O62"/>
    <mergeCell ref="M63:O63"/>
    <mergeCell ref="M64:O64"/>
    <mergeCell ref="M65:O65"/>
    <mergeCell ref="M56:O56"/>
    <mergeCell ref="M57:O57"/>
    <mergeCell ref="M58:O58"/>
    <mergeCell ref="M59:O59"/>
    <mergeCell ref="M60:O60"/>
    <mergeCell ref="M51:O51"/>
    <mergeCell ref="M52:O52"/>
    <mergeCell ref="M53:O53"/>
    <mergeCell ref="M54:O54"/>
    <mergeCell ref="M55:O55"/>
    <mergeCell ref="M46:O46"/>
    <mergeCell ref="M47:O47"/>
    <mergeCell ref="M48:O48"/>
    <mergeCell ref="M49:O49"/>
    <mergeCell ref="M50:O50"/>
    <mergeCell ref="M41:O41"/>
    <mergeCell ref="M42:O42"/>
    <mergeCell ref="M43:O43"/>
    <mergeCell ref="M44:O44"/>
    <mergeCell ref="M45:O45"/>
    <mergeCell ref="K386:L386"/>
    <mergeCell ref="M26:O26"/>
    <mergeCell ref="M27:O27"/>
    <mergeCell ref="M28:O28"/>
    <mergeCell ref="M29:O29"/>
    <mergeCell ref="M30:O30"/>
    <mergeCell ref="M31:O31"/>
    <mergeCell ref="M32:O32"/>
    <mergeCell ref="M33:O33"/>
    <mergeCell ref="M34:O34"/>
    <mergeCell ref="M35:O35"/>
    <mergeCell ref="M36:O36"/>
    <mergeCell ref="M37:O37"/>
    <mergeCell ref="M38:O38"/>
    <mergeCell ref="M39:O39"/>
    <mergeCell ref="M40:O40"/>
    <mergeCell ref="K381:L381"/>
    <mergeCell ref="K382:L382"/>
    <mergeCell ref="K383:L383"/>
    <mergeCell ref="K384:L384"/>
    <mergeCell ref="K385:L385"/>
    <mergeCell ref="K376:L376"/>
    <mergeCell ref="K377:L377"/>
    <mergeCell ref="K378:L378"/>
    <mergeCell ref="K379:L379"/>
    <mergeCell ref="K380:L380"/>
    <mergeCell ref="K371:L371"/>
    <mergeCell ref="K372:L372"/>
    <mergeCell ref="K373:L373"/>
    <mergeCell ref="K374:L374"/>
    <mergeCell ref="K375:L375"/>
    <mergeCell ref="K366:L366"/>
    <mergeCell ref="K367:L367"/>
    <mergeCell ref="K368:L368"/>
    <mergeCell ref="K369:L369"/>
    <mergeCell ref="K370:L370"/>
    <mergeCell ref="K361:L361"/>
    <mergeCell ref="K362:L362"/>
    <mergeCell ref="K363:L363"/>
    <mergeCell ref="K364:L364"/>
    <mergeCell ref="K365:L365"/>
    <mergeCell ref="K356:L356"/>
    <mergeCell ref="K357:L357"/>
    <mergeCell ref="K358:L358"/>
    <mergeCell ref="K359:L359"/>
    <mergeCell ref="K360:L360"/>
    <mergeCell ref="K351:L351"/>
    <mergeCell ref="K352:L352"/>
    <mergeCell ref="K353:L353"/>
    <mergeCell ref="K354:L354"/>
    <mergeCell ref="K355:L355"/>
    <mergeCell ref="K346:L346"/>
    <mergeCell ref="K347:L347"/>
    <mergeCell ref="K348:L348"/>
    <mergeCell ref="K349:L349"/>
    <mergeCell ref="K350:L350"/>
    <mergeCell ref="K341:L341"/>
    <mergeCell ref="K342:L342"/>
    <mergeCell ref="K343:L343"/>
    <mergeCell ref="K344:L344"/>
    <mergeCell ref="K345:L345"/>
    <mergeCell ref="K336:L336"/>
    <mergeCell ref="K337:L337"/>
    <mergeCell ref="K338:L338"/>
    <mergeCell ref="K339:L339"/>
    <mergeCell ref="K340:L340"/>
    <mergeCell ref="K331:L331"/>
    <mergeCell ref="K332:L332"/>
    <mergeCell ref="K333:L333"/>
    <mergeCell ref="K334:L334"/>
    <mergeCell ref="K335:L335"/>
    <mergeCell ref="K326:L326"/>
    <mergeCell ref="K327:L327"/>
    <mergeCell ref="K328:L328"/>
    <mergeCell ref="K329:L329"/>
    <mergeCell ref="K330:L330"/>
    <mergeCell ref="K321:L321"/>
    <mergeCell ref="K322:L322"/>
    <mergeCell ref="K323:L323"/>
    <mergeCell ref="K324:L324"/>
    <mergeCell ref="K325:L325"/>
    <mergeCell ref="K316:L316"/>
    <mergeCell ref="K317:L317"/>
    <mergeCell ref="K318:L318"/>
    <mergeCell ref="K319:L319"/>
    <mergeCell ref="K320:L320"/>
    <mergeCell ref="K311:L311"/>
    <mergeCell ref="K312:L312"/>
    <mergeCell ref="K313:L313"/>
    <mergeCell ref="K314:L314"/>
    <mergeCell ref="K315:L315"/>
    <mergeCell ref="K306:L306"/>
    <mergeCell ref="K307:L307"/>
    <mergeCell ref="K308:L308"/>
    <mergeCell ref="K309:L309"/>
    <mergeCell ref="K310:L310"/>
    <mergeCell ref="K301:L301"/>
    <mergeCell ref="K302:L302"/>
    <mergeCell ref="K303:L303"/>
    <mergeCell ref="K304:L304"/>
    <mergeCell ref="K305:L305"/>
    <mergeCell ref="K296:L296"/>
    <mergeCell ref="K297:L297"/>
    <mergeCell ref="K298:L298"/>
    <mergeCell ref="K299:L299"/>
    <mergeCell ref="K300:L300"/>
    <mergeCell ref="K291:L291"/>
    <mergeCell ref="K292:L292"/>
    <mergeCell ref="K293:L293"/>
    <mergeCell ref="K294:L294"/>
    <mergeCell ref="K295:L295"/>
    <mergeCell ref="K286:L286"/>
    <mergeCell ref="K287:L287"/>
    <mergeCell ref="K288:L288"/>
    <mergeCell ref="K289:L289"/>
    <mergeCell ref="K290:L290"/>
    <mergeCell ref="K281:L281"/>
    <mergeCell ref="K282:L282"/>
    <mergeCell ref="K283:L283"/>
    <mergeCell ref="K284:L284"/>
    <mergeCell ref="K285:L285"/>
    <mergeCell ref="K276:L276"/>
    <mergeCell ref="K277:L277"/>
    <mergeCell ref="K278:L278"/>
    <mergeCell ref="K279:L279"/>
    <mergeCell ref="K280:L280"/>
    <mergeCell ref="K271:L271"/>
    <mergeCell ref="K272:L272"/>
    <mergeCell ref="K273:L273"/>
    <mergeCell ref="K274:L274"/>
    <mergeCell ref="K275:L275"/>
    <mergeCell ref="K266:L266"/>
    <mergeCell ref="K267:L267"/>
    <mergeCell ref="K268:L268"/>
    <mergeCell ref="K269:L269"/>
    <mergeCell ref="K270:L270"/>
    <mergeCell ref="K261:L261"/>
    <mergeCell ref="K262:L262"/>
    <mergeCell ref="K263:L263"/>
    <mergeCell ref="K264:L264"/>
    <mergeCell ref="K265:L265"/>
    <mergeCell ref="K256:L256"/>
    <mergeCell ref="K257:L257"/>
    <mergeCell ref="K258:L258"/>
    <mergeCell ref="K259:L259"/>
    <mergeCell ref="K260:L260"/>
    <mergeCell ref="K251:L251"/>
    <mergeCell ref="K252:L252"/>
    <mergeCell ref="K253:L253"/>
    <mergeCell ref="K254:L254"/>
    <mergeCell ref="K255:L255"/>
    <mergeCell ref="K246:L246"/>
    <mergeCell ref="K247:L247"/>
    <mergeCell ref="K248:L248"/>
    <mergeCell ref="K249:L249"/>
    <mergeCell ref="K250:L250"/>
    <mergeCell ref="K241:L241"/>
    <mergeCell ref="K242:L242"/>
    <mergeCell ref="K243:L243"/>
    <mergeCell ref="K244:L244"/>
    <mergeCell ref="K245:L245"/>
    <mergeCell ref="K236:L236"/>
    <mergeCell ref="K237:L237"/>
    <mergeCell ref="K238:L238"/>
    <mergeCell ref="K239:L239"/>
    <mergeCell ref="K240:L240"/>
    <mergeCell ref="K231:L231"/>
    <mergeCell ref="K232:L232"/>
    <mergeCell ref="K233:L233"/>
    <mergeCell ref="K234:L234"/>
    <mergeCell ref="K235:L235"/>
    <mergeCell ref="K226:L226"/>
    <mergeCell ref="K227:L227"/>
    <mergeCell ref="K228:L228"/>
    <mergeCell ref="K229:L229"/>
    <mergeCell ref="K230:L230"/>
    <mergeCell ref="K221:L221"/>
    <mergeCell ref="K222:L222"/>
    <mergeCell ref="K223:L223"/>
    <mergeCell ref="K224:L224"/>
    <mergeCell ref="K225:L225"/>
    <mergeCell ref="K216:L216"/>
    <mergeCell ref="K217:L217"/>
    <mergeCell ref="K218:L218"/>
    <mergeCell ref="K219:L219"/>
    <mergeCell ref="K220:L220"/>
    <mergeCell ref="K211:L211"/>
    <mergeCell ref="K212:L212"/>
    <mergeCell ref="K213:L213"/>
    <mergeCell ref="K214:L214"/>
    <mergeCell ref="K215:L215"/>
    <mergeCell ref="K206:L206"/>
    <mergeCell ref="K207:L207"/>
    <mergeCell ref="K208:L208"/>
    <mergeCell ref="K209:L209"/>
    <mergeCell ref="K210:L210"/>
    <mergeCell ref="K201:L201"/>
    <mergeCell ref="K202:L202"/>
    <mergeCell ref="K203:L203"/>
    <mergeCell ref="K204:L204"/>
    <mergeCell ref="K205:L205"/>
    <mergeCell ref="K196:L196"/>
    <mergeCell ref="K197:L197"/>
    <mergeCell ref="K198:L198"/>
    <mergeCell ref="K199:L199"/>
    <mergeCell ref="K200:L200"/>
    <mergeCell ref="K191:L191"/>
    <mergeCell ref="K192:L192"/>
    <mergeCell ref="K193:L193"/>
    <mergeCell ref="K194:L194"/>
    <mergeCell ref="K195:L195"/>
    <mergeCell ref="K186:L186"/>
    <mergeCell ref="K187:L187"/>
    <mergeCell ref="K188:L188"/>
    <mergeCell ref="K189:L189"/>
    <mergeCell ref="K190:L190"/>
    <mergeCell ref="K181:L181"/>
    <mergeCell ref="K182:L182"/>
    <mergeCell ref="K183:L183"/>
    <mergeCell ref="K184:L184"/>
    <mergeCell ref="K185:L185"/>
    <mergeCell ref="K176:L176"/>
    <mergeCell ref="K177:L177"/>
    <mergeCell ref="K178:L178"/>
    <mergeCell ref="K179:L179"/>
    <mergeCell ref="K180:L180"/>
    <mergeCell ref="K171:L171"/>
    <mergeCell ref="K172:L172"/>
    <mergeCell ref="K173:L173"/>
    <mergeCell ref="K174:L174"/>
    <mergeCell ref="K175:L175"/>
    <mergeCell ref="K166:L166"/>
    <mergeCell ref="K167:L167"/>
    <mergeCell ref="K168:L168"/>
    <mergeCell ref="K169:L169"/>
    <mergeCell ref="K170:L170"/>
    <mergeCell ref="K161:L161"/>
    <mergeCell ref="K162:L162"/>
    <mergeCell ref="K163:L163"/>
    <mergeCell ref="K164:L164"/>
    <mergeCell ref="K165:L165"/>
    <mergeCell ref="K156:L156"/>
    <mergeCell ref="K157:L157"/>
    <mergeCell ref="K158:L158"/>
    <mergeCell ref="K159:L159"/>
    <mergeCell ref="K160:L160"/>
    <mergeCell ref="K151:L151"/>
    <mergeCell ref="K152:L152"/>
    <mergeCell ref="K153:L153"/>
    <mergeCell ref="K154:L154"/>
    <mergeCell ref="K155:L155"/>
    <mergeCell ref="K146:L146"/>
    <mergeCell ref="K147:L147"/>
    <mergeCell ref="K148:L148"/>
    <mergeCell ref="K149:L149"/>
    <mergeCell ref="K150:L150"/>
    <mergeCell ref="K141:L141"/>
    <mergeCell ref="K142:L142"/>
    <mergeCell ref="K143:L143"/>
    <mergeCell ref="K144:L144"/>
    <mergeCell ref="K145:L145"/>
    <mergeCell ref="K136:L136"/>
    <mergeCell ref="K137:L137"/>
    <mergeCell ref="K138:L138"/>
    <mergeCell ref="K139:L139"/>
    <mergeCell ref="K140:L140"/>
    <mergeCell ref="K131:L131"/>
    <mergeCell ref="K132:L132"/>
    <mergeCell ref="K133:L133"/>
    <mergeCell ref="K134:L134"/>
    <mergeCell ref="K135:L135"/>
    <mergeCell ref="K126:L126"/>
    <mergeCell ref="K127:L127"/>
    <mergeCell ref="K128:L128"/>
    <mergeCell ref="K129:L129"/>
    <mergeCell ref="K130:L130"/>
    <mergeCell ref="K121:L121"/>
    <mergeCell ref="K122:L122"/>
    <mergeCell ref="K123:L123"/>
    <mergeCell ref="K124:L124"/>
    <mergeCell ref="K125:L125"/>
    <mergeCell ref="K116:L116"/>
    <mergeCell ref="K117:L117"/>
    <mergeCell ref="K118:L118"/>
    <mergeCell ref="K119:L119"/>
    <mergeCell ref="K120:L120"/>
    <mergeCell ref="K111:L111"/>
    <mergeCell ref="K112:L112"/>
    <mergeCell ref="K113:L113"/>
    <mergeCell ref="K114:L114"/>
    <mergeCell ref="K115:L115"/>
    <mergeCell ref="K106:L106"/>
    <mergeCell ref="K107:L107"/>
    <mergeCell ref="K108:L108"/>
    <mergeCell ref="K109:L109"/>
    <mergeCell ref="K110:L110"/>
    <mergeCell ref="K101:L101"/>
    <mergeCell ref="K102:L102"/>
    <mergeCell ref="K103:L103"/>
    <mergeCell ref="K104:L104"/>
    <mergeCell ref="K105:L105"/>
    <mergeCell ref="K96:L96"/>
    <mergeCell ref="K97:L97"/>
    <mergeCell ref="K98:L98"/>
    <mergeCell ref="K99:L99"/>
    <mergeCell ref="K100:L100"/>
    <mergeCell ref="K91:L91"/>
    <mergeCell ref="K92:L92"/>
    <mergeCell ref="K93:L93"/>
    <mergeCell ref="K94:L94"/>
    <mergeCell ref="K95:L95"/>
    <mergeCell ref="K86:L86"/>
    <mergeCell ref="K87:L87"/>
    <mergeCell ref="K88:L88"/>
    <mergeCell ref="K89:L89"/>
    <mergeCell ref="K90:L90"/>
    <mergeCell ref="K81:L81"/>
    <mergeCell ref="K82:L82"/>
    <mergeCell ref="K83:L83"/>
    <mergeCell ref="K84:L84"/>
    <mergeCell ref="K85:L85"/>
    <mergeCell ref="K76:L76"/>
    <mergeCell ref="K77:L77"/>
    <mergeCell ref="K78:L78"/>
    <mergeCell ref="K79:L79"/>
    <mergeCell ref="K80:L80"/>
    <mergeCell ref="K71:L71"/>
    <mergeCell ref="K72:L72"/>
    <mergeCell ref="K73:L73"/>
    <mergeCell ref="K74:L74"/>
    <mergeCell ref="K75:L75"/>
    <mergeCell ref="K66:L66"/>
    <mergeCell ref="K67:L67"/>
    <mergeCell ref="K68:L68"/>
    <mergeCell ref="K69:L69"/>
    <mergeCell ref="K70:L70"/>
    <mergeCell ref="K61:L61"/>
    <mergeCell ref="K62:L62"/>
    <mergeCell ref="K63:L63"/>
    <mergeCell ref="K64:L64"/>
    <mergeCell ref="K65:L65"/>
    <mergeCell ref="K56:L56"/>
    <mergeCell ref="K57:L57"/>
    <mergeCell ref="K58:L58"/>
    <mergeCell ref="K59:L59"/>
    <mergeCell ref="K60:L60"/>
    <mergeCell ref="K51:L51"/>
    <mergeCell ref="K52:L52"/>
    <mergeCell ref="K53:L53"/>
    <mergeCell ref="K54:L54"/>
    <mergeCell ref="K55:L55"/>
    <mergeCell ref="K46:L46"/>
    <mergeCell ref="K47:L47"/>
    <mergeCell ref="K48:L48"/>
    <mergeCell ref="K49:L49"/>
    <mergeCell ref="K50:L50"/>
    <mergeCell ref="K41:L41"/>
    <mergeCell ref="K42:L42"/>
    <mergeCell ref="K43:L43"/>
    <mergeCell ref="K44:L44"/>
    <mergeCell ref="K45:L45"/>
    <mergeCell ref="I386:J386"/>
    <mergeCell ref="K26:L26"/>
    <mergeCell ref="K27:L27"/>
    <mergeCell ref="K28:L28"/>
    <mergeCell ref="K29:L29"/>
    <mergeCell ref="K30:L30"/>
    <mergeCell ref="K31:L31"/>
    <mergeCell ref="K32:L32"/>
    <mergeCell ref="K33:L33"/>
    <mergeCell ref="K34:L34"/>
    <mergeCell ref="K35:L35"/>
    <mergeCell ref="K36:L36"/>
    <mergeCell ref="K37:L37"/>
    <mergeCell ref="K38:L38"/>
    <mergeCell ref="K39:L39"/>
    <mergeCell ref="K40:L40"/>
    <mergeCell ref="I381:J381"/>
    <mergeCell ref="I382:J382"/>
    <mergeCell ref="I383:J383"/>
    <mergeCell ref="I384:J384"/>
    <mergeCell ref="I385:J385"/>
    <mergeCell ref="I376:J376"/>
    <mergeCell ref="I377:J377"/>
    <mergeCell ref="I378:J378"/>
    <mergeCell ref="I379:J379"/>
    <mergeCell ref="I380:J380"/>
    <mergeCell ref="I371:J371"/>
    <mergeCell ref="I372:J372"/>
    <mergeCell ref="I373:J373"/>
    <mergeCell ref="I374:J374"/>
    <mergeCell ref="I375:J375"/>
    <mergeCell ref="I366:J366"/>
    <mergeCell ref="I367:J367"/>
    <mergeCell ref="I368:J368"/>
    <mergeCell ref="I369:J369"/>
    <mergeCell ref="I370:J370"/>
    <mergeCell ref="I361:J361"/>
    <mergeCell ref="I362:J362"/>
    <mergeCell ref="I363:J363"/>
    <mergeCell ref="I364:J364"/>
    <mergeCell ref="I365:J365"/>
    <mergeCell ref="I356:J356"/>
    <mergeCell ref="I357:J357"/>
    <mergeCell ref="I358:J358"/>
    <mergeCell ref="I359:J359"/>
    <mergeCell ref="I360:J360"/>
    <mergeCell ref="I351:J351"/>
    <mergeCell ref="I352:J352"/>
    <mergeCell ref="I353:J353"/>
    <mergeCell ref="I354:J354"/>
    <mergeCell ref="I355:J355"/>
    <mergeCell ref="I346:J346"/>
    <mergeCell ref="I347:J347"/>
    <mergeCell ref="I348:J348"/>
    <mergeCell ref="I349:J349"/>
    <mergeCell ref="I350:J350"/>
    <mergeCell ref="I341:J341"/>
    <mergeCell ref="I342:J342"/>
    <mergeCell ref="I343:J343"/>
    <mergeCell ref="I344:J344"/>
    <mergeCell ref="I345:J345"/>
    <mergeCell ref="I336:J336"/>
    <mergeCell ref="I337:J337"/>
    <mergeCell ref="I338:J338"/>
    <mergeCell ref="I339:J339"/>
    <mergeCell ref="I340:J340"/>
    <mergeCell ref="I331:J331"/>
    <mergeCell ref="I332:J332"/>
    <mergeCell ref="I333:J333"/>
    <mergeCell ref="I334:J334"/>
    <mergeCell ref="I335:J335"/>
    <mergeCell ref="I326:J326"/>
    <mergeCell ref="I327:J327"/>
    <mergeCell ref="I328:J328"/>
    <mergeCell ref="I329:J329"/>
    <mergeCell ref="I330:J330"/>
    <mergeCell ref="I321:J321"/>
    <mergeCell ref="I322:J322"/>
    <mergeCell ref="I323:J323"/>
    <mergeCell ref="I324:J324"/>
    <mergeCell ref="I325:J325"/>
    <mergeCell ref="I316:J316"/>
    <mergeCell ref="I317:J317"/>
    <mergeCell ref="I318:J318"/>
    <mergeCell ref="I319:J319"/>
    <mergeCell ref="I320:J320"/>
    <mergeCell ref="I311:J311"/>
    <mergeCell ref="I312:J312"/>
    <mergeCell ref="I313:J313"/>
    <mergeCell ref="I314:J314"/>
    <mergeCell ref="I315:J315"/>
    <mergeCell ref="I306:J306"/>
    <mergeCell ref="I307:J307"/>
    <mergeCell ref="I308:J308"/>
    <mergeCell ref="I309:J309"/>
    <mergeCell ref="I310:J310"/>
    <mergeCell ref="I301:J301"/>
    <mergeCell ref="I302:J302"/>
    <mergeCell ref="I303:J303"/>
    <mergeCell ref="I304:J304"/>
    <mergeCell ref="I305:J305"/>
    <mergeCell ref="I296:J296"/>
    <mergeCell ref="I297:J297"/>
    <mergeCell ref="I298:J298"/>
    <mergeCell ref="I299:J299"/>
    <mergeCell ref="I300:J300"/>
    <mergeCell ref="I291:J291"/>
    <mergeCell ref="I292:J292"/>
    <mergeCell ref="I293:J293"/>
    <mergeCell ref="I294:J294"/>
    <mergeCell ref="I295:J295"/>
    <mergeCell ref="I286:J286"/>
    <mergeCell ref="I287:J287"/>
    <mergeCell ref="I288:J288"/>
    <mergeCell ref="I289:J289"/>
    <mergeCell ref="I290:J290"/>
    <mergeCell ref="I281:J281"/>
    <mergeCell ref="I282:J282"/>
    <mergeCell ref="I283:J283"/>
    <mergeCell ref="I284:J284"/>
    <mergeCell ref="I285:J285"/>
    <mergeCell ref="I276:J276"/>
    <mergeCell ref="I277:J277"/>
    <mergeCell ref="I278:J278"/>
    <mergeCell ref="I279:J279"/>
    <mergeCell ref="I280:J280"/>
    <mergeCell ref="I271:J271"/>
    <mergeCell ref="I272:J272"/>
    <mergeCell ref="I273:J273"/>
    <mergeCell ref="I274:J274"/>
    <mergeCell ref="I275:J275"/>
    <mergeCell ref="I266:J266"/>
    <mergeCell ref="I267:J267"/>
    <mergeCell ref="I268:J268"/>
    <mergeCell ref="I269:J269"/>
    <mergeCell ref="I270:J270"/>
    <mergeCell ref="I261:J261"/>
    <mergeCell ref="I262:J262"/>
    <mergeCell ref="I263:J263"/>
    <mergeCell ref="I264:J264"/>
    <mergeCell ref="I265:J265"/>
    <mergeCell ref="I256:J256"/>
    <mergeCell ref="I257:J257"/>
    <mergeCell ref="I258:J258"/>
    <mergeCell ref="I259:J259"/>
    <mergeCell ref="I260:J260"/>
    <mergeCell ref="I251:J251"/>
    <mergeCell ref="I252:J252"/>
    <mergeCell ref="I253:J253"/>
    <mergeCell ref="I254:J254"/>
    <mergeCell ref="I255:J255"/>
    <mergeCell ref="I246:J246"/>
    <mergeCell ref="I247:J247"/>
    <mergeCell ref="I248:J248"/>
    <mergeCell ref="I249:J249"/>
    <mergeCell ref="I250:J250"/>
    <mergeCell ref="I241:J241"/>
    <mergeCell ref="I242:J242"/>
    <mergeCell ref="I243:J243"/>
    <mergeCell ref="I244:J244"/>
    <mergeCell ref="I245:J245"/>
    <mergeCell ref="I236:J236"/>
    <mergeCell ref="I237:J237"/>
    <mergeCell ref="I238:J238"/>
    <mergeCell ref="I239:J239"/>
    <mergeCell ref="I240:J240"/>
    <mergeCell ref="I231:J231"/>
    <mergeCell ref="I232:J232"/>
    <mergeCell ref="I233:J233"/>
    <mergeCell ref="I234:J234"/>
    <mergeCell ref="I235:J235"/>
    <mergeCell ref="I226:J226"/>
    <mergeCell ref="I227:J227"/>
    <mergeCell ref="I228:J228"/>
    <mergeCell ref="I229:J229"/>
    <mergeCell ref="I230:J230"/>
    <mergeCell ref="I221:J221"/>
    <mergeCell ref="I222:J222"/>
    <mergeCell ref="I223:J223"/>
    <mergeCell ref="I224:J224"/>
    <mergeCell ref="I225:J225"/>
    <mergeCell ref="I216:J216"/>
    <mergeCell ref="I217:J217"/>
    <mergeCell ref="I218:J218"/>
    <mergeCell ref="I219:J219"/>
    <mergeCell ref="I220:J220"/>
    <mergeCell ref="I211:J211"/>
    <mergeCell ref="I212:J212"/>
    <mergeCell ref="I213:J213"/>
    <mergeCell ref="I214:J214"/>
    <mergeCell ref="I215:J215"/>
    <mergeCell ref="I206:J206"/>
    <mergeCell ref="I207:J207"/>
    <mergeCell ref="I208:J208"/>
    <mergeCell ref="I209:J209"/>
    <mergeCell ref="I210:J210"/>
    <mergeCell ref="I201:J201"/>
    <mergeCell ref="I202:J202"/>
    <mergeCell ref="I203:J203"/>
    <mergeCell ref="I204:J204"/>
    <mergeCell ref="I205:J205"/>
    <mergeCell ref="I196:J196"/>
    <mergeCell ref="I197:J197"/>
    <mergeCell ref="I198:J198"/>
    <mergeCell ref="I199:J199"/>
    <mergeCell ref="I200:J200"/>
    <mergeCell ref="I191:J191"/>
    <mergeCell ref="I192:J192"/>
    <mergeCell ref="I193:J193"/>
    <mergeCell ref="I194:J194"/>
    <mergeCell ref="I195:J195"/>
    <mergeCell ref="I186:J186"/>
    <mergeCell ref="I187:J187"/>
    <mergeCell ref="I188:J188"/>
    <mergeCell ref="I189:J189"/>
    <mergeCell ref="I190:J190"/>
    <mergeCell ref="I181:J181"/>
    <mergeCell ref="I182:J182"/>
    <mergeCell ref="I183:J183"/>
    <mergeCell ref="I184:J184"/>
    <mergeCell ref="I185:J185"/>
    <mergeCell ref="I176:J176"/>
    <mergeCell ref="I177:J177"/>
    <mergeCell ref="I178:J178"/>
    <mergeCell ref="I179:J179"/>
    <mergeCell ref="I180:J180"/>
    <mergeCell ref="I171:J171"/>
    <mergeCell ref="I172:J172"/>
    <mergeCell ref="I173:J173"/>
    <mergeCell ref="I174:J174"/>
    <mergeCell ref="I175:J175"/>
    <mergeCell ref="I166:J166"/>
    <mergeCell ref="I167:J167"/>
    <mergeCell ref="I168:J168"/>
    <mergeCell ref="I169:J169"/>
    <mergeCell ref="I170:J170"/>
    <mergeCell ref="I161:J161"/>
    <mergeCell ref="I162:J162"/>
    <mergeCell ref="I163:J163"/>
    <mergeCell ref="I164:J164"/>
    <mergeCell ref="I165:J165"/>
    <mergeCell ref="I156:J156"/>
    <mergeCell ref="I157:J157"/>
    <mergeCell ref="I158:J158"/>
    <mergeCell ref="I159:J159"/>
    <mergeCell ref="I160:J160"/>
    <mergeCell ref="I151:J151"/>
    <mergeCell ref="I152:J152"/>
    <mergeCell ref="I153:J153"/>
    <mergeCell ref="I154:J154"/>
    <mergeCell ref="I155:J155"/>
    <mergeCell ref="I146:J146"/>
    <mergeCell ref="I147:J147"/>
    <mergeCell ref="I148:J148"/>
    <mergeCell ref="I149:J149"/>
    <mergeCell ref="I150:J150"/>
    <mergeCell ref="I141:J141"/>
    <mergeCell ref="I142:J142"/>
    <mergeCell ref="I143:J143"/>
    <mergeCell ref="I144:J144"/>
    <mergeCell ref="I145:J145"/>
    <mergeCell ref="I136:J136"/>
    <mergeCell ref="I137:J137"/>
    <mergeCell ref="I138:J138"/>
    <mergeCell ref="I139:J139"/>
    <mergeCell ref="I140:J140"/>
    <mergeCell ref="I131:J131"/>
    <mergeCell ref="I132:J132"/>
    <mergeCell ref="I133:J133"/>
    <mergeCell ref="I134:J134"/>
    <mergeCell ref="I135:J135"/>
    <mergeCell ref="I126:J126"/>
    <mergeCell ref="I127:J127"/>
    <mergeCell ref="I128:J128"/>
    <mergeCell ref="I129:J129"/>
    <mergeCell ref="I130:J130"/>
    <mergeCell ref="I121:J121"/>
    <mergeCell ref="I122:J122"/>
    <mergeCell ref="I123:J123"/>
    <mergeCell ref="I124:J124"/>
    <mergeCell ref="I125:J125"/>
    <mergeCell ref="I116:J116"/>
    <mergeCell ref="I117:J117"/>
    <mergeCell ref="I118:J118"/>
    <mergeCell ref="I119:J119"/>
    <mergeCell ref="I120:J120"/>
    <mergeCell ref="I111:J111"/>
    <mergeCell ref="I112:J112"/>
    <mergeCell ref="I113:J113"/>
    <mergeCell ref="I114:J114"/>
    <mergeCell ref="I115:J115"/>
    <mergeCell ref="I106:J106"/>
    <mergeCell ref="I107:J107"/>
    <mergeCell ref="I108:J108"/>
    <mergeCell ref="I109:J109"/>
    <mergeCell ref="I110:J110"/>
    <mergeCell ref="I101:J101"/>
    <mergeCell ref="I102:J102"/>
    <mergeCell ref="I103:J103"/>
    <mergeCell ref="I104:J104"/>
    <mergeCell ref="I105:J105"/>
    <mergeCell ref="I96:J96"/>
    <mergeCell ref="I97:J97"/>
    <mergeCell ref="I98:J98"/>
    <mergeCell ref="I99:J99"/>
    <mergeCell ref="I100:J100"/>
    <mergeCell ref="I91:J91"/>
    <mergeCell ref="I92:J92"/>
    <mergeCell ref="I93:J93"/>
    <mergeCell ref="I94:J94"/>
    <mergeCell ref="I95:J95"/>
    <mergeCell ref="I86:J86"/>
    <mergeCell ref="I87:J87"/>
    <mergeCell ref="I88:J88"/>
    <mergeCell ref="I89:J89"/>
    <mergeCell ref="I90:J90"/>
    <mergeCell ref="I81:J81"/>
    <mergeCell ref="I82:J82"/>
    <mergeCell ref="I83:J83"/>
    <mergeCell ref="I84:J84"/>
    <mergeCell ref="I85:J85"/>
    <mergeCell ref="I76:J76"/>
    <mergeCell ref="I77:J77"/>
    <mergeCell ref="I78:J78"/>
    <mergeCell ref="I79:J79"/>
    <mergeCell ref="I80:J80"/>
    <mergeCell ref="I71:J71"/>
    <mergeCell ref="I72:J72"/>
    <mergeCell ref="I73:J73"/>
    <mergeCell ref="I74:J74"/>
    <mergeCell ref="I75:J75"/>
    <mergeCell ref="I66:J66"/>
    <mergeCell ref="I67:J67"/>
    <mergeCell ref="I68:J68"/>
    <mergeCell ref="I69:J69"/>
    <mergeCell ref="I70:J70"/>
    <mergeCell ref="I61:J61"/>
    <mergeCell ref="I62:J62"/>
    <mergeCell ref="I63:J63"/>
    <mergeCell ref="I64:J64"/>
    <mergeCell ref="I65:J65"/>
    <mergeCell ref="I56:J56"/>
    <mergeCell ref="I57:J57"/>
    <mergeCell ref="I58:J58"/>
    <mergeCell ref="I59:J59"/>
    <mergeCell ref="I60:J60"/>
    <mergeCell ref="I51:J51"/>
    <mergeCell ref="I52:J52"/>
    <mergeCell ref="I53:J53"/>
    <mergeCell ref="I54:J54"/>
    <mergeCell ref="I55:J55"/>
    <mergeCell ref="I46:J46"/>
    <mergeCell ref="I47:J47"/>
    <mergeCell ref="I48:J48"/>
    <mergeCell ref="I49:J49"/>
    <mergeCell ref="I50:J50"/>
    <mergeCell ref="I41:J41"/>
    <mergeCell ref="I42:J42"/>
    <mergeCell ref="I43:J43"/>
    <mergeCell ref="I44:J44"/>
    <mergeCell ref="I45:J45"/>
    <mergeCell ref="G386:H386"/>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G381:H381"/>
    <mergeCell ref="G382:H382"/>
    <mergeCell ref="G383:H383"/>
    <mergeCell ref="G384:H384"/>
    <mergeCell ref="G385:H385"/>
    <mergeCell ref="G376:H376"/>
    <mergeCell ref="G377:H377"/>
    <mergeCell ref="G378:H378"/>
    <mergeCell ref="G379:H379"/>
    <mergeCell ref="G380:H380"/>
    <mergeCell ref="G371:H371"/>
    <mergeCell ref="G372:H372"/>
    <mergeCell ref="G373:H373"/>
    <mergeCell ref="G374:H374"/>
    <mergeCell ref="G375:H375"/>
    <mergeCell ref="G366:H366"/>
    <mergeCell ref="G367:H367"/>
    <mergeCell ref="G368:H368"/>
    <mergeCell ref="G369:H369"/>
    <mergeCell ref="G370:H370"/>
    <mergeCell ref="G361:H361"/>
    <mergeCell ref="G362:H362"/>
    <mergeCell ref="G363:H363"/>
    <mergeCell ref="G364:H364"/>
    <mergeCell ref="G365:H365"/>
    <mergeCell ref="G356:H356"/>
    <mergeCell ref="G357:H357"/>
    <mergeCell ref="G358:H358"/>
    <mergeCell ref="G359:H359"/>
    <mergeCell ref="G360:H360"/>
    <mergeCell ref="G351:H351"/>
    <mergeCell ref="G352:H352"/>
    <mergeCell ref="G353:H353"/>
    <mergeCell ref="G354:H354"/>
    <mergeCell ref="G355:H355"/>
    <mergeCell ref="G346:H346"/>
    <mergeCell ref="G347:H347"/>
    <mergeCell ref="G348:H348"/>
    <mergeCell ref="G349:H349"/>
    <mergeCell ref="G350:H350"/>
    <mergeCell ref="G341:H341"/>
    <mergeCell ref="G342:H342"/>
    <mergeCell ref="G343:H343"/>
    <mergeCell ref="G344:H344"/>
    <mergeCell ref="G345:H345"/>
    <mergeCell ref="G336:H336"/>
    <mergeCell ref="G337:H337"/>
    <mergeCell ref="G338:H338"/>
    <mergeCell ref="G339:H339"/>
    <mergeCell ref="G340:H340"/>
    <mergeCell ref="G331:H331"/>
    <mergeCell ref="G332:H332"/>
    <mergeCell ref="G333:H333"/>
    <mergeCell ref="G334:H334"/>
    <mergeCell ref="G335:H335"/>
    <mergeCell ref="G326:H326"/>
    <mergeCell ref="G327:H327"/>
    <mergeCell ref="G328:H328"/>
    <mergeCell ref="G329:H329"/>
    <mergeCell ref="G330:H330"/>
    <mergeCell ref="G321:H321"/>
    <mergeCell ref="G322:H322"/>
    <mergeCell ref="G323:H323"/>
    <mergeCell ref="G324:H324"/>
    <mergeCell ref="G325:H325"/>
    <mergeCell ref="G316:H316"/>
    <mergeCell ref="G317:H317"/>
    <mergeCell ref="G318:H318"/>
    <mergeCell ref="G319:H319"/>
    <mergeCell ref="G320:H320"/>
    <mergeCell ref="G311:H311"/>
    <mergeCell ref="G312:H312"/>
    <mergeCell ref="G313:H313"/>
    <mergeCell ref="G314:H314"/>
    <mergeCell ref="G315:H315"/>
    <mergeCell ref="G306:H306"/>
    <mergeCell ref="G307:H307"/>
    <mergeCell ref="G308:H308"/>
    <mergeCell ref="G309:H309"/>
    <mergeCell ref="G310:H310"/>
    <mergeCell ref="G301:H301"/>
    <mergeCell ref="G302:H302"/>
    <mergeCell ref="G303:H303"/>
    <mergeCell ref="G304:H304"/>
    <mergeCell ref="G305:H305"/>
    <mergeCell ref="G296:H296"/>
    <mergeCell ref="G297:H297"/>
    <mergeCell ref="G298:H298"/>
    <mergeCell ref="G299:H299"/>
    <mergeCell ref="G300:H300"/>
    <mergeCell ref="G291:H291"/>
    <mergeCell ref="G292:H292"/>
    <mergeCell ref="G293:H293"/>
    <mergeCell ref="G294:H294"/>
    <mergeCell ref="G295:H295"/>
    <mergeCell ref="G286:H286"/>
    <mergeCell ref="G287:H287"/>
    <mergeCell ref="G288:H288"/>
    <mergeCell ref="G289:H289"/>
    <mergeCell ref="G290:H290"/>
    <mergeCell ref="G281:H281"/>
    <mergeCell ref="G282:H282"/>
    <mergeCell ref="G283:H283"/>
    <mergeCell ref="G284:H284"/>
    <mergeCell ref="G285:H285"/>
    <mergeCell ref="G276:H276"/>
    <mergeCell ref="G277:H277"/>
    <mergeCell ref="G278:H278"/>
    <mergeCell ref="G279:H279"/>
    <mergeCell ref="G280:H280"/>
    <mergeCell ref="G271:H271"/>
    <mergeCell ref="G272:H272"/>
    <mergeCell ref="G273:H273"/>
    <mergeCell ref="G274:H274"/>
    <mergeCell ref="G275:H275"/>
    <mergeCell ref="G266:H266"/>
    <mergeCell ref="G267:H267"/>
    <mergeCell ref="G268:H268"/>
    <mergeCell ref="G269:H269"/>
    <mergeCell ref="G270:H270"/>
    <mergeCell ref="G261:H261"/>
    <mergeCell ref="G262:H262"/>
    <mergeCell ref="G263:H263"/>
    <mergeCell ref="G264:H264"/>
    <mergeCell ref="G265:H265"/>
    <mergeCell ref="G256:H256"/>
    <mergeCell ref="G257:H257"/>
    <mergeCell ref="G258:H258"/>
    <mergeCell ref="G259:H259"/>
    <mergeCell ref="G260:H260"/>
    <mergeCell ref="G251:H251"/>
    <mergeCell ref="G252:H252"/>
    <mergeCell ref="G253:H253"/>
    <mergeCell ref="G254:H254"/>
    <mergeCell ref="G255:H255"/>
    <mergeCell ref="G246:H246"/>
    <mergeCell ref="G247:H247"/>
    <mergeCell ref="G248:H248"/>
    <mergeCell ref="G249:H249"/>
    <mergeCell ref="G250:H250"/>
    <mergeCell ref="G241:H241"/>
    <mergeCell ref="G242:H242"/>
    <mergeCell ref="G243:H243"/>
    <mergeCell ref="G244:H244"/>
    <mergeCell ref="G245:H245"/>
    <mergeCell ref="G236:H236"/>
    <mergeCell ref="G237:H237"/>
    <mergeCell ref="G238:H238"/>
    <mergeCell ref="G239:H239"/>
    <mergeCell ref="G240:H240"/>
    <mergeCell ref="G231:H231"/>
    <mergeCell ref="G232:H232"/>
    <mergeCell ref="G233:H233"/>
    <mergeCell ref="G234:H234"/>
    <mergeCell ref="G235:H235"/>
    <mergeCell ref="G226:H226"/>
    <mergeCell ref="G227:H227"/>
    <mergeCell ref="G228:H228"/>
    <mergeCell ref="G229:H229"/>
    <mergeCell ref="G230:H230"/>
    <mergeCell ref="G221:H221"/>
    <mergeCell ref="G222:H222"/>
    <mergeCell ref="G223:H223"/>
    <mergeCell ref="G224:H224"/>
    <mergeCell ref="G225:H225"/>
    <mergeCell ref="G216:H216"/>
    <mergeCell ref="G217:H217"/>
    <mergeCell ref="G218:H218"/>
    <mergeCell ref="G219:H219"/>
    <mergeCell ref="G220:H220"/>
    <mergeCell ref="G211:H211"/>
    <mergeCell ref="G212:H212"/>
    <mergeCell ref="G213:H213"/>
    <mergeCell ref="G214:H214"/>
    <mergeCell ref="G215:H215"/>
    <mergeCell ref="G206:H206"/>
    <mergeCell ref="G207:H207"/>
    <mergeCell ref="G208:H208"/>
    <mergeCell ref="G209:H209"/>
    <mergeCell ref="G210:H210"/>
    <mergeCell ref="G201:H201"/>
    <mergeCell ref="G202:H202"/>
    <mergeCell ref="G203:H203"/>
    <mergeCell ref="G204:H204"/>
    <mergeCell ref="G205:H205"/>
    <mergeCell ref="G196:H196"/>
    <mergeCell ref="G197:H197"/>
    <mergeCell ref="G198:H198"/>
    <mergeCell ref="G199:H199"/>
    <mergeCell ref="G200:H200"/>
    <mergeCell ref="G191:H191"/>
    <mergeCell ref="G192:H192"/>
    <mergeCell ref="G193:H193"/>
    <mergeCell ref="G194:H194"/>
    <mergeCell ref="G195:H195"/>
    <mergeCell ref="G186:H186"/>
    <mergeCell ref="G187:H187"/>
    <mergeCell ref="G188:H188"/>
    <mergeCell ref="G189:H189"/>
    <mergeCell ref="G190:H190"/>
    <mergeCell ref="G181:H181"/>
    <mergeCell ref="G182:H182"/>
    <mergeCell ref="G183:H183"/>
    <mergeCell ref="G184:H184"/>
    <mergeCell ref="G185:H185"/>
    <mergeCell ref="G176:H176"/>
    <mergeCell ref="G177:H177"/>
    <mergeCell ref="G178:H178"/>
    <mergeCell ref="G179:H179"/>
    <mergeCell ref="G180:H180"/>
    <mergeCell ref="G171:H171"/>
    <mergeCell ref="G172:H172"/>
    <mergeCell ref="G173:H173"/>
    <mergeCell ref="G174:H174"/>
    <mergeCell ref="G175:H175"/>
    <mergeCell ref="G166:H166"/>
    <mergeCell ref="G167:H167"/>
    <mergeCell ref="G168:H168"/>
    <mergeCell ref="G169:H169"/>
    <mergeCell ref="G170:H170"/>
    <mergeCell ref="G161:H161"/>
    <mergeCell ref="G162:H162"/>
    <mergeCell ref="G163:H163"/>
    <mergeCell ref="G164:H164"/>
    <mergeCell ref="G165:H165"/>
    <mergeCell ref="G156:H156"/>
    <mergeCell ref="G157:H157"/>
    <mergeCell ref="G158:H158"/>
    <mergeCell ref="G159:H159"/>
    <mergeCell ref="G160:H160"/>
    <mergeCell ref="G151:H151"/>
    <mergeCell ref="G152:H152"/>
    <mergeCell ref="G153:H153"/>
    <mergeCell ref="G154:H154"/>
    <mergeCell ref="G155:H155"/>
    <mergeCell ref="G146:H146"/>
    <mergeCell ref="G147:H147"/>
    <mergeCell ref="G148:H148"/>
    <mergeCell ref="G149:H149"/>
    <mergeCell ref="G150:H150"/>
    <mergeCell ref="G141:H141"/>
    <mergeCell ref="G142:H142"/>
    <mergeCell ref="G143:H143"/>
    <mergeCell ref="G144:H144"/>
    <mergeCell ref="G145:H145"/>
    <mergeCell ref="G136:H136"/>
    <mergeCell ref="G137:H137"/>
    <mergeCell ref="G138:H138"/>
    <mergeCell ref="G139:H139"/>
    <mergeCell ref="G140:H140"/>
    <mergeCell ref="G131:H131"/>
    <mergeCell ref="G132:H132"/>
    <mergeCell ref="G133:H133"/>
    <mergeCell ref="G134:H134"/>
    <mergeCell ref="G135:H135"/>
    <mergeCell ref="G126:H126"/>
    <mergeCell ref="G127:H127"/>
    <mergeCell ref="G128:H128"/>
    <mergeCell ref="G129:H129"/>
    <mergeCell ref="G130:H130"/>
    <mergeCell ref="G121:H121"/>
    <mergeCell ref="G122:H122"/>
    <mergeCell ref="G123:H123"/>
    <mergeCell ref="G124:H124"/>
    <mergeCell ref="G125:H125"/>
    <mergeCell ref="G116:H116"/>
    <mergeCell ref="G117:H117"/>
    <mergeCell ref="G118:H118"/>
    <mergeCell ref="G119:H119"/>
    <mergeCell ref="G120:H120"/>
    <mergeCell ref="G111:H111"/>
    <mergeCell ref="G112:H112"/>
    <mergeCell ref="G113:H113"/>
    <mergeCell ref="G114:H114"/>
    <mergeCell ref="G115:H115"/>
    <mergeCell ref="G106:H106"/>
    <mergeCell ref="G107:H107"/>
    <mergeCell ref="G108:H108"/>
    <mergeCell ref="G109:H109"/>
    <mergeCell ref="G110:H110"/>
    <mergeCell ref="G101:H101"/>
    <mergeCell ref="G102:H102"/>
    <mergeCell ref="G103:H103"/>
    <mergeCell ref="G104:H104"/>
    <mergeCell ref="G105:H105"/>
    <mergeCell ref="G96:H96"/>
    <mergeCell ref="G97:H97"/>
    <mergeCell ref="G98:H98"/>
    <mergeCell ref="G99:H99"/>
    <mergeCell ref="G100:H100"/>
    <mergeCell ref="G91:H91"/>
    <mergeCell ref="G92:H92"/>
    <mergeCell ref="G93:H93"/>
    <mergeCell ref="G94:H94"/>
    <mergeCell ref="G95:H95"/>
    <mergeCell ref="G86:H86"/>
    <mergeCell ref="G87:H87"/>
    <mergeCell ref="G88:H88"/>
    <mergeCell ref="G89:H89"/>
    <mergeCell ref="G90:H90"/>
    <mergeCell ref="G81:H81"/>
    <mergeCell ref="G82:H82"/>
    <mergeCell ref="G83:H83"/>
    <mergeCell ref="G84:H84"/>
    <mergeCell ref="G85:H85"/>
    <mergeCell ref="G76:H76"/>
    <mergeCell ref="G77:H77"/>
    <mergeCell ref="G78:H78"/>
    <mergeCell ref="G79:H79"/>
    <mergeCell ref="G80:H80"/>
    <mergeCell ref="G71:H71"/>
    <mergeCell ref="G72:H72"/>
    <mergeCell ref="G73:H73"/>
    <mergeCell ref="G74:H74"/>
    <mergeCell ref="G75:H75"/>
    <mergeCell ref="G66:H66"/>
    <mergeCell ref="G67:H67"/>
    <mergeCell ref="G68:H68"/>
    <mergeCell ref="G69:H69"/>
    <mergeCell ref="G70:H70"/>
    <mergeCell ref="G61:H61"/>
    <mergeCell ref="G62:H62"/>
    <mergeCell ref="G63:H63"/>
    <mergeCell ref="G64:H64"/>
    <mergeCell ref="G65:H65"/>
    <mergeCell ref="G56:H56"/>
    <mergeCell ref="G57:H57"/>
    <mergeCell ref="G58:H58"/>
    <mergeCell ref="G59:H59"/>
    <mergeCell ref="G60:H60"/>
    <mergeCell ref="G51:H51"/>
    <mergeCell ref="G52:H52"/>
    <mergeCell ref="G53:H53"/>
    <mergeCell ref="G54:H54"/>
    <mergeCell ref="G55:H55"/>
    <mergeCell ref="G46:H46"/>
    <mergeCell ref="G47:H47"/>
    <mergeCell ref="G48:H48"/>
    <mergeCell ref="G49:H49"/>
    <mergeCell ref="G50:H50"/>
    <mergeCell ref="G41:H41"/>
    <mergeCell ref="G42:H42"/>
    <mergeCell ref="G43:H43"/>
    <mergeCell ref="G44:H44"/>
    <mergeCell ref="G45:H45"/>
    <mergeCell ref="E386:F386"/>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E381:F381"/>
    <mergeCell ref="E382:F382"/>
    <mergeCell ref="E383:F383"/>
    <mergeCell ref="E384:F384"/>
    <mergeCell ref="E385:F385"/>
    <mergeCell ref="E376:F376"/>
    <mergeCell ref="E377:F377"/>
    <mergeCell ref="E378:F378"/>
    <mergeCell ref="E379:F379"/>
    <mergeCell ref="E380:F380"/>
    <mergeCell ref="E371:F371"/>
    <mergeCell ref="E372:F372"/>
    <mergeCell ref="E373:F373"/>
    <mergeCell ref="E374:F374"/>
    <mergeCell ref="E375:F375"/>
    <mergeCell ref="E366:F366"/>
    <mergeCell ref="E367:F367"/>
    <mergeCell ref="E368:F368"/>
    <mergeCell ref="E369:F369"/>
    <mergeCell ref="E370:F370"/>
    <mergeCell ref="E361:F361"/>
    <mergeCell ref="E362:F362"/>
    <mergeCell ref="E363:F363"/>
    <mergeCell ref="E364:F364"/>
    <mergeCell ref="E365:F365"/>
    <mergeCell ref="E356:F356"/>
    <mergeCell ref="E357:F357"/>
    <mergeCell ref="E358:F358"/>
    <mergeCell ref="E359:F359"/>
    <mergeCell ref="E360:F360"/>
    <mergeCell ref="E351:F351"/>
    <mergeCell ref="E352:F352"/>
    <mergeCell ref="E353:F353"/>
    <mergeCell ref="E354:F354"/>
    <mergeCell ref="E355:F355"/>
    <mergeCell ref="E346:F346"/>
    <mergeCell ref="E347:F347"/>
    <mergeCell ref="E348:F348"/>
    <mergeCell ref="E349:F349"/>
    <mergeCell ref="E350:F350"/>
    <mergeCell ref="E341:F341"/>
    <mergeCell ref="E342:F342"/>
    <mergeCell ref="E343:F343"/>
    <mergeCell ref="E344:F344"/>
    <mergeCell ref="E345:F345"/>
    <mergeCell ref="E336:F336"/>
    <mergeCell ref="E337:F337"/>
    <mergeCell ref="E338:F338"/>
    <mergeCell ref="E339:F339"/>
    <mergeCell ref="E340:F340"/>
    <mergeCell ref="E331:F331"/>
    <mergeCell ref="E332:F332"/>
    <mergeCell ref="E333:F333"/>
    <mergeCell ref="E334:F334"/>
    <mergeCell ref="E335:F335"/>
    <mergeCell ref="E326:F326"/>
    <mergeCell ref="E327:F327"/>
    <mergeCell ref="E328:F328"/>
    <mergeCell ref="E329:F329"/>
    <mergeCell ref="E330:F330"/>
    <mergeCell ref="E321:F321"/>
    <mergeCell ref="E322:F322"/>
    <mergeCell ref="E323:F323"/>
    <mergeCell ref="E324:F324"/>
    <mergeCell ref="E325:F325"/>
    <mergeCell ref="E316:F316"/>
    <mergeCell ref="E317:F317"/>
    <mergeCell ref="E318:F318"/>
    <mergeCell ref="E319:F319"/>
    <mergeCell ref="E320:F320"/>
    <mergeCell ref="E311:F311"/>
    <mergeCell ref="E312:F312"/>
    <mergeCell ref="E313:F313"/>
    <mergeCell ref="E314:F314"/>
    <mergeCell ref="E315:F315"/>
    <mergeCell ref="E306:F306"/>
    <mergeCell ref="E307:F307"/>
    <mergeCell ref="E308:F308"/>
    <mergeCell ref="E309:F309"/>
    <mergeCell ref="E310:F310"/>
    <mergeCell ref="E301:F301"/>
    <mergeCell ref="E302:F302"/>
    <mergeCell ref="E303:F303"/>
    <mergeCell ref="E304:F304"/>
    <mergeCell ref="E305:F305"/>
    <mergeCell ref="E296:F296"/>
    <mergeCell ref="E297:F297"/>
    <mergeCell ref="E298:F298"/>
    <mergeCell ref="E299:F299"/>
    <mergeCell ref="E300:F300"/>
    <mergeCell ref="E291:F291"/>
    <mergeCell ref="E292:F292"/>
    <mergeCell ref="E293:F293"/>
    <mergeCell ref="E294:F294"/>
    <mergeCell ref="E295:F295"/>
    <mergeCell ref="E286:F286"/>
    <mergeCell ref="E287:F287"/>
    <mergeCell ref="E288:F288"/>
    <mergeCell ref="E289:F289"/>
    <mergeCell ref="E290:F290"/>
    <mergeCell ref="E281:F281"/>
    <mergeCell ref="E282:F282"/>
    <mergeCell ref="E283:F283"/>
    <mergeCell ref="E284:F284"/>
    <mergeCell ref="E285:F285"/>
    <mergeCell ref="E276:F276"/>
    <mergeCell ref="E277:F277"/>
    <mergeCell ref="E278:F278"/>
    <mergeCell ref="E279:F279"/>
    <mergeCell ref="E280:F280"/>
    <mergeCell ref="E271:F271"/>
    <mergeCell ref="E272:F272"/>
    <mergeCell ref="E273:F273"/>
    <mergeCell ref="E274:F274"/>
    <mergeCell ref="E275:F275"/>
    <mergeCell ref="E266:F266"/>
    <mergeCell ref="E267:F267"/>
    <mergeCell ref="E268:F268"/>
    <mergeCell ref="E269:F269"/>
    <mergeCell ref="E270:F270"/>
    <mergeCell ref="E261:F261"/>
    <mergeCell ref="E262:F262"/>
    <mergeCell ref="E263:F263"/>
    <mergeCell ref="E264:F264"/>
    <mergeCell ref="E265:F265"/>
    <mergeCell ref="E256:F256"/>
    <mergeCell ref="E257:F257"/>
    <mergeCell ref="E258:F258"/>
    <mergeCell ref="E259:F259"/>
    <mergeCell ref="E260:F260"/>
    <mergeCell ref="E251:F251"/>
    <mergeCell ref="E252:F252"/>
    <mergeCell ref="E253:F253"/>
    <mergeCell ref="E254:F254"/>
    <mergeCell ref="E255:F255"/>
    <mergeCell ref="E246:F246"/>
    <mergeCell ref="E247:F247"/>
    <mergeCell ref="E248:F248"/>
    <mergeCell ref="E249:F249"/>
    <mergeCell ref="E250:F250"/>
    <mergeCell ref="E241:F241"/>
    <mergeCell ref="E242:F242"/>
    <mergeCell ref="E243:F243"/>
    <mergeCell ref="E244:F244"/>
    <mergeCell ref="E245:F245"/>
    <mergeCell ref="E236:F236"/>
    <mergeCell ref="E237:F237"/>
    <mergeCell ref="E238:F238"/>
    <mergeCell ref="E239:F239"/>
    <mergeCell ref="E240:F240"/>
    <mergeCell ref="E231:F231"/>
    <mergeCell ref="E232:F232"/>
    <mergeCell ref="E233:F233"/>
    <mergeCell ref="E234:F234"/>
    <mergeCell ref="E235:F235"/>
    <mergeCell ref="E226:F226"/>
    <mergeCell ref="E227:F227"/>
    <mergeCell ref="E228:F228"/>
    <mergeCell ref="E229:F229"/>
    <mergeCell ref="E230:F230"/>
    <mergeCell ref="E221:F221"/>
    <mergeCell ref="E222:F222"/>
    <mergeCell ref="E223:F223"/>
    <mergeCell ref="E224:F224"/>
    <mergeCell ref="E225:F225"/>
    <mergeCell ref="E216:F216"/>
    <mergeCell ref="E217:F217"/>
    <mergeCell ref="E218:F218"/>
    <mergeCell ref="E219:F219"/>
    <mergeCell ref="E220:F220"/>
    <mergeCell ref="E211:F211"/>
    <mergeCell ref="E212:F212"/>
    <mergeCell ref="E213:F213"/>
    <mergeCell ref="E214:F214"/>
    <mergeCell ref="E215:F215"/>
    <mergeCell ref="E206:F206"/>
    <mergeCell ref="E207:F207"/>
    <mergeCell ref="E208:F208"/>
    <mergeCell ref="E209:F209"/>
    <mergeCell ref="E210:F210"/>
    <mergeCell ref="E201:F201"/>
    <mergeCell ref="E202:F202"/>
    <mergeCell ref="E203:F203"/>
    <mergeCell ref="E204:F204"/>
    <mergeCell ref="E205:F205"/>
    <mergeCell ref="E196:F196"/>
    <mergeCell ref="E197:F197"/>
    <mergeCell ref="E198:F198"/>
    <mergeCell ref="E199:F199"/>
    <mergeCell ref="E200:F200"/>
    <mergeCell ref="E191:F191"/>
    <mergeCell ref="E192:F192"/>
    <mergeCell ref="E193:F193"/>
    <mergeCell ref="E194:F194"/>
    <mergeCell ref="E195:F195"/>
    <mergeCell ref="E186:F186"/>
    <mergeCell ref="E187:F187"/>
    <mergeCell ref="E188:F188"/>
    <mergeCell ref="E189:F189"/>
    <mergeCell ref="E190:F190"/>
    <mergeCell ref="E181:F181"/>
    <mergeCell ref="E182:F182"/>
    <mergeCell ref="E183:F183"/>
    <mergeCell ref="E184:F184"/>
    <mergeCell ref="E185:F185"/>
    <mergeCell ref="E176:F176"/>
    <mergeCell ref="E177:F177"/>
    <mergeCell ref="E178:F178"/>
    <mergeCell ref="E179:F179"/>
    <mergeCell ref="E180:F180"/>
    <mergeCell ref="E171:F171"/>
    <mergeCell ref="E172:F172"/>
    <mergeCell ref="E173:F173"/>
    <mergeCell ref="E174:F174"/>
    <mergeCell ref="E175:F175"/>
    <mergeCell ref="E166:F166"/>
    <mergeCell ref="E167:F167"/>
    <mergeCell ref="E168:F168"/>
    <mergeCell ref="E169:F169"/>
    <mergeCell ref="E170:F170"/>
    <mergeCell ref="E161:F161"/>
    <mergeCell ref="E162:F162"/>
    <mergeCell ref="E163:F163"/>
    <mergeCell ref="E164:F164"/>
    <mergeCell ref="E165:F165"/>
    <mergeCell ref="E156:F156"/>
    <mergeCell ref="E157:F157"/>
    <mergeCell ref="E158:F158"/>
    <mergeCell ref="E159:F159"/>
    <mergeCell ref="E160:F160"/>
    <mergeCell ref="E151:F151"/>
    <mergeCell ref="E152:F152"/>
    <mergeCell ref="E153:F153"/>
    <mergeCell ref="E154:F154"/>
    <mergeCell ref="E155:F155"/>
    <mergeCell ref="E146:F146"/>
    <mergeCell ref="E147:F147"/>
    <mergeCell ref="E148:F148"/>
    <mergeCell ref="E149:F149"/>
    <mergeCell ref="E150:F150"/>
    <mergeCell ref="E141:F141"/>
    <mergeCell ref="E142:F142"/>
    <mergeCell ref="E143:F143"/>
    <mergeCell ref="E144:F144"/>
    <mergeCell ref="E145:F145"/>
    <mergeCell ref="E136:F136"/>
    <mergeCell ref="E137:F137"/>
    <mergeCell ref="E138:F138"/>
    <mergeCell ref="E139:F139"/>
    <mergeCell ref="E140:F140"/>
    <mergeCell ref="E131:F131"/>
    <mergeCell ref="E132:F132"/>
    <mergeCell ref="E133:F133"/>
    <mergeCell ref="E134:F134"/>
    <mergeCell ref="E135:F135"/>
    <mergeCell ref="E126:F126"/>
    <mergeCell ref="E127:F127"/>
    <mergeCell ref="E128:F128"/>
    <mergeCell ref="E129:F129"/>
    <mergeCell ref="E130:F130"/>
    <mergeCell ref="E121:F121"/>
    <mergeCell ref="E122:F122"/>
    <mergeCell ref="E123:F123"/>
    <mergeCell ref="E124:F124"/>
    <mergeCell ref="E125:F125"/>
    <mergeCell ref="E116:F116"/>
    <mergeCell ref="E117:F117"/>
    <mergeCell ref="E118:F118"/>
    <mergeCell ref="E119:F119"/>
    <mergeCell ref="E120:F120"/>
    <mergeCell ref="E111:F111"/>
    <mergeCell ref="E112:F112"/>
    <mergeCell ref="E113:F113"/>
    <mergeCell ref="E114:F114"/>
    <mergeCell ref="E115:F115"/>
    <mergeCell ref="E106:F106"/>
    <mergeCell ref="E107:F107"/>
    <mergeCell ref="E108:F108"/>
    <mergeCell ref="E109:F109"/>
    <mergeCell ref="E110:F110"/>
    <mergeCell ref="E101:F101"/>
    <mergeCell ref="E102:F102"/>
    <mergeCell ref="E103:F103"/>
    <mergeCell ref="E104:F104"/>
    <mergeCell ref="E105:F105"/>
    <mergeCell ref="E96:F96"/>
    <mergeCell ref="E97:F97"/>
    <mergeCell ref="E98:F98"/>
    <mergeCell ref="E99:F99"/>
    <mergeCell ref="E100:F100"/>
    <mergeCell ref="E91:F91"/>
    <mergeCell ref="E92:F92"/>
    <mergeCell ref="E93:F93"/>
    <mergeCell ref="E94:F94"/>
    <mergeCell ref="E95:F95"/>
    <mergeCell ref="E86:F86"/>
    <mergeCell ref="E87:F87"/>
    <mergeCell ref="E88:F88"/>
    <mergeCell ref="E89:F89"/>
    <mergeCell ref="E90:F90"/>
    <mergeCell ref="E81:F81"/>
    <mergeCell ref="E82:F82"/>
    <mergeCell ref="E83:F83"/>
    <mergeCell ref="E84:F84"/>
    <mergeCell ref="E85:F85"/>
    <mergeCell ref="E76:F76"/>
    <mergeCell ref="E77:F77"/>
    <mergeCell ref="E78:F78"/>
    <mergeCell ref="E79:F79"/>
    <mergeCell ref="E80:F80"/>
    <mergeCell ref="E71:F71"/>
    <mergeCell ref="E72:F72"/>
    <mergeCell ref="E73:F73"/>
    <mergeCell ref="E74:F74"/>
    <mergeCell ref="E75:F75"/>
    <mergeCell ref="E66:F66"/>
    <mergeCell ref="E67:F67"/>
    <mergeCell ref="E68:F68"/>
    <mergeCell ref="E69:F69"/>
    <mergeCell ref="E70:F70"/>
    <mergeCell ref="E61:F61"/>
    <mergeCell ref="E62:F62"/>
    <mergeCell ref="E63:F63"/>
    <mergeCell ref="E64:F64"/>
    <mergeCell ref="E65:F65"/>
    <mergeCell ref="E56:F56"/>
    <mergeCell ref="E57:F57"/>
    <mergeCell ref="E58:F58"/>
    <mergeCell ref="E59:F59"/>
    <mergeCell ref="E60:F60"/>
    <mergeCell ref="E51:F51"/>
    <mergeCell ref="E52:F52"/>
    <mergeCell ref="E53:F53"/>
    <mergeCell ref="E54:F54"/>
    <mergeCell ref="E55:F55"/>
    <mergeCell ref="E46:F46"/>
    <mergeCell ref="E47:F47"/>
    <mergeCell ref="E48:F48"/>
    <mergeCell ref="E49:F49"/>
    <mergeCell ref="E50:F50"/>
    <mergeCell ref="E41:F41"/>
    <mergeCell ref="E42:F42"/>
    <mergeCell ref="E43:F43"/>
    <mergeCell ref="E44:F44"/>
    <mergeCell ref="E45:F45"/>
    <mergeCell ref="E36:F36"/>
    <mergeCell ref="E37:F37"/>
    <mergeCell ref="E38:F38"/>
    <mergeCell ref="E39:F39"/>
    <mergeCell ref="E40:F40"/>
    <mergeCell ref="E31:F31"/>
    <mergeCell ref="E32:F32"/>
    <mergeCell ref="E33:F33"/>
    <mergeCell ref="E34:F34"/>
    <mergeCell ref="E35:F35"/>
    <mergeCell ref="E26:F26"/>
    <mergeCell ref="E27:F27"/>
    <mergeCell ref="E28:F28"/>
    <mergeCell ref="E29:F29"/>
    <mergeCell ref="E30:F30"/>
    <mergeCell ref="G14:H14"/>
    <mergeCell ref="J14:O14"/>
    <mergeCell ref="D22:H22"/>
    <mergeCell ref="I22:J22"/>
    <mergeCell ref="G19:H19"/>
    <mergeCell ref="C25:D25"/>
    <mergeCell ref="E25:F25"/>
    <mergeCell ref="N20:O20"/>
    <mergeCell ref="K25:L25"/>
    <mergeCell ref="M25:O25"/>
    <mergeCell ref="J7:O7"/>
    <mergeCell ref="J8:O8"/>
    <mergeCell ref="I25:J25"/>
    <mergeCell ref="G25:H25"/>
    <mergeCell ref="G7:H7"/>
    <mergeCell ref="G16:H16"/>
    <mergeCell ref="G20:H20"/>
    <mergeCell ref="N16:O16"/>
    <mergeCell ref="N17:O17"/>
    <mergeCell ref="N18:O18"/>
    <mergeCell ref="N19:O19"/>
    <mergeCell ref="J13:O13"/>
    <mergeCell ref="G15:H15"/>
    <mergeCell ref="J15:O15"/>
    <mergeCell ref="A2:A3"/>
    <mergeCell ref="G10:H10"/>
    <mergeCell ref="G9:H9"/>
    <mergeCell ref="J6:O6"/>
    <mergeCell ref="B2:H3"/>
    <mergeCell ref="G8:H8"/>
    <mergeCell ref="N10:O10"/>
    <mergeCell ref="B6:H6"/>
    <mergeCell ref="N11:O11"/>
    <mergeCell ref="B13:H13"/>
    <mergeCell ref="G11:H11"/>
    <mergeCell ref="N9:O9"/>
  </mergeCells>
  <conditionalFormatting sqref="B27:O386">
    <cfRule type="expression" dxfId="7" priority="1">
      <formula>$A27="ORANGE"</formula>
    </cfRule>
  </conditionalFormatting>
  <dataValidations count="2">
    <dataValidation operator="lessThanOrEqual" allowBlank="1" showInputMessage="1" showErrorMessage="1" errorTitle="ERROR!!" error="No. of years cannot be more than 50!" sqref="G20 G15 G8" xr:uid="{4F8FFD8B-1168-4B3D-AF22-3F4944DFBC95}"/>
    <dataValidation type="whole" allowBlank="1" showInputMessage="1" showErrorMessage="1" errorTitle="ERROR!!" error="Revised loan tenure can maximum be 30 years!" sqref="G14" xr:uid="{646BC4E8-B1B7-4188-88C3-6C5F651E6E45}">
      <formula1>1</formula1>
      <formula2>30</formula2>
    </dataValidation>
  </dataValidations>
  <hyperlinks>
    <hyperlink ref="A2:A3" location="'Main Menu'!A1" tooltip="HOME" display="BACK" xr:uid="{5FF57C34-5582-4127-A044-57001DD59CBF}"/>
  </hyperlinks>
  <printOptions horizontalCentered="1"/>
  <pageMargins left="0.23622047244094491" right="0.23622047244094491" top="0.23622047244094491" bottom="0.23622047244094491" header="0.31496062992125984" footer="0.31496062992125984"/>
  <pageSetup paperSize="9" orientation="landscape" r:id="rId1"/>
  <rowBreaks count="1" manualBreakCount="1">
    <brk id="3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A3FB8-E473-4FA8-A675-459CB39F2879}">
  <dimension ref="A1:T386"/>
  <sheetViews>
    <sheetView showGridLines="0" zoomScaleNormal="100" workbookViewId="0">
      <selection activeCell="B17" sqref="B17:O17"/>
    </sheetView>
  </sheetViews>
  <sheetFormatPr defaultColWidth="0" defaultRowHeight="0" customHeight="1" zeroHeight="1" x14ac:dyDescent="0.35"/>
  <cols>
    <col min="1" max="6" width="9.1796875" style="6" customWidth="1"/>
    <col min="7" max="7" width="8.26953125" style="6" customWidth="1"/>
    <col min="8" max="8" width="9.1796875" style="6" customWidth="1"/>
    <col min="9" max="9" width="12.26953125" style="6" customWidth="1"/>
    <col min="10" max="10" width="9.1796875" style="6" customWidth="1"/>
    <col min="11" max="11" width="8.7265625" style="6" customWidth="1"/>
    <col min="12" max="12" width="9.1796875" style="6" customWidth="1"/>
    <col min="13" max="13" width="10" style="6" customWidth="1"/>
    <col min="14" max="15" width="9.1796875" style="6" customWidth="1"/>
    <col min="16" max="16" width="0.7265625" style="6" customWidth="1"/>
    <col min="17" max="17" width="9.1796875" style="6" hidden="1" customWidth="1"/>
    <col min="18" max="18" width="11.7265625" style="6" hidden="1" customWidth="1"/>
    <col min="19" max="19" width="20" style="6" hidden="1" customWidth="1"/>
    <col min="20" max="20" width="0" style="6" hidden="1" customWidth="1"/>
    <col min="21" max="16384" width="9.1796875" style="6" hidden="1"/>
  </cols>
  <sheetData>
    <row r="1" spans="1:20" ht="14.5" x14ac:dyDescent="0.35"/>
    <row r="2" spans="1:20" ht="14.5" customHeight="1" x14ac:dyDescent="0.35">
      <c r="A2" s="289" t="s">
        <v>5</v>
      </c>
      <c r="B2" s="290" t="s">
        <v>4</v>
      </c>
      <c r="C2" s="290"/>
      <c r="D2" s="290"/>
      <c r="E2" s="290"/>
      <c r="F2" s="290"/>
      <c r="G2" s="290"/>
      <c r="H2" s="290"/>
      <c r="I2" s="290"/>
      <c r="J2" s="290"/>
      <c r="K2" s="76"/>
      <c r="L2" s="76"/>
      <c r="N2"/>
      <c r="O2"/>
    </row>
    <row r="3" spans="1:20" ht="14.5" customHeight="1" x14ac:dyDescent="0.35">
      <c r="A3" s="289"/>
      <c r="B3" s="338"/>
      <c r="C3" s="338"/>
      <c r="D3" s="338"/>
      <c r="E3" s="338"/>
      <c r="F3" s="338"/>
      <c r="G3" s="338"/>
      <c r="H3" s="338"/>
      <c r="I3" s="338"/>
      <c r="J3" s="338"/>
      <c r="K3" s="76"/>
      <c r="L3" s="76"/>
      <c r="N3"/>
      <c r="O3"/>
    </row>
    <row r="4" spans="1:20" ht="14.5" x14ac:dyDescent="0.35">
      <c r="Q4"/>
      <c r="R4"/>
      <c r="S4"/>
      <c r="T4"/>
    </row>
    <row r="5" spans="1:20" s="9" customFormat="1" ht="20.149999999999999" customHeight="1" x14ac:dyDescent="0.35">
      <c r="B5" s="9" t="s">
        <v>255</v>
      </c>
      <c r="D5" s="279" t="str">
        <f>" "&amp;UPPER('Main Menu'!C29)</f>
        <v xml:space="preserve"> CLIENT NAME</v>
      </c>
      <c r="E5" s="279"/>
      <c r="F5" s="279"/>
      <c r="G5" s="279"/>
      <c r="H5" s="279"/>
      <c r="I5" s="9" t="s">
        <v>256</v>
      </c>
      <c r="J5" s="325" t="str">
        <f>" "&amp;UPPER('Main Menu'!L29)</f>
        <v xml:space="preserve"> PARTNER NAME</v>
      </c>
      <c r="K5" s="325"/>
      <c r="L5" s="325"/>
      <c r="M5" s="325"/>
      <c r="N5" s="325"/>
      <c r="Q5" s="79"/>
      <c r="R5" s="79"/>
      <c r="S5" s="79"/>
      <c r="T5" s="79"/>
    </row>
    <row r="6" spans="1:20" ht="20.149999999999999" customHeight="1" x14ac:dyDescent="0.35">
      <c r="C6" s="9"/>
      <c r="J6"/>
      <c r="N6" s="53" t="str">
        <f ca="1">"Dated: "&amp; TEXT(TODAY(),"DD-MMM-YYYY")</f>
        <v>Dated: 28-Aug-2025</v>
      </c>
      <c r="Q6"/>
      <c r="R6"/>
      <c r="S6"/>
      <c r="T6"/>
    </row>
    <row r="7" spans="1:20" ht="20.149999999999999" customHeight="1" x14ac:dyDescent="0.35">
      <c r="B7" s="163" t="str">
        <f>UPPER("Personal details")</f>
        <v>PERSONAL DETAILS</v>
      </c>
      <c r="C7" s="73"/>
      <c r="D7" s="73"/>
      <c r="G7" s="163" t="str">
        <f>UPPER("Retirement details")</f>
        <v>RETIREMENT DETAILS</v>
      </c>
      <c r="H7" s="73"/>
      <c r="I7" s="73"/>
      <c r="J7" s="73"/>
      <c r="N7" s="72"/>
      <c r="O7" s="72"/>
      <c r="Q7" t="s">
        <v>241</v>
      </c>
      <c r="R7"/>
      <c r="S7"/>
      <c r="T7"/>
    </row>
    <row r="8" spans="1:20" ht="20.149999999999999" customHeight="1" x14ac:dyDescent="0.35">
      <c r="B8" s="7" t="s">
        <v>162</v>
      </c>
      <c r="C8" s="29"/>
      <c r="D8" s="29"/>
      <c r="E8" s="293">
        <v>40</v>
      </c>
      <c r="F8" s="294"/>
      <c r="G8" s="7" t="s">
        <v>323</v>
      </c>
      <c r="H8" s="29"/>
      <c r="I8" s="8"/>
      <c r="J8" s="8"/>
      <c r="K8" s="196">
        <v>0.12</v>
      </c>
      <c r="L8" s="171" t="s">
        <v>324</v>
      </c>
      <c r="M8" s="29"/>
      <c r="N8" s="645">
        <f>-PV(S8,E11-E10,S10,,1)</f>
        <v>42487328.691582143</v>
      </c>
      <c r="O8" s="646"/>
      <c r="Q8" t="s">
        <v>202</v>
      </c>
      <c r="R8"/>
      <c r="S8" s="89">
        <f>((1+K9)/(1+E16))-1</f>
        <v>2.8037383177570208E-2</v>
      </c>
      <c r="T8"/>
    </row>
    <row r="9" spans="1:20" ht="20.149999999999999" customHeight="1" x14ac:dyDescent="0.35">
      <c r="B9" s="7" t="s">
        <v>236</v>
      </c>
      <c r="C9" s="29"/>
      <c r="D9" s="29"/>
      <c r="E9" s="293">
        <v>35</v>
      </c>
      <c r="F9" s="294"/>
      <c r="G9" s="7" t="s">
        <v>242</v>
      </c>
      <c r="H9" s="29"/>
      <c r="I9" s="8"/>
      <c r="J9" s="8"/>
      <c r="K9" s="196">
        <v>0.1</v>
      </c>
      <c r="L9" s="171" t="s">
        <v>364</v>
      </c>
      <c r="M9" s="167"/>
      <c r="N9" s="647">
        <f t="shared" ref="N9" si="0">-PMT((1+K8)^(1/12)-1,(E10-E8)*12,,N8,1)</f>
        <v>46189.040535337401</v>
      </c>
      <c r="O9" s="647"/>
      <c r="Q9" t="s">
        <v>244</v>
      </c>
      <c r="R9"/>
      <c r="S9" s="90">
        <f>FV(E16,E10-E8,,-E13,)</f>
        <v>193484.22312430898</v>
      </c>
      <c r="T9"/>
    </row>
    <row r="10" spans="1:20" customFormat="1" ht="20.149999999999999" customHeight="1" x14ac:dyDescent="0.35">
      <c r="B10" s="7" t="s">
        <v>238</v>
      </c>
      <c r="C10" s="29"/>
      <c r="D10" s="29"/>
      <c r="E10" s="293">
        <v>60</v>
      </c>
      <c r="F10" s="294"/>
      <c r="G10" s="163" t="str">
        <f>UPPER("Life insurance requirement")</f>
        <v>LIFE INSURANCE REQUIREMENT</v>
      </c>
      <c r="H10" s="164"/>
      <c r="I10" s="165"/>
      <c r="J10" s="166"/>
      <c r="K10" s="9"/>
      <c r="L10" s="9"/>
      <c r="M10" s="6"/>
      <c r="N10" s="72"/>
      <c r="O10" s="72"/>
      <c r="Q10" t="s">
        <v>245</v>
      </c>
      <c r="S10" s="90">
        <f>S9*12</f>
        <v>2321810.6774917077</v>
      </c>
    </row>
    <row r="11" spans="1:20" customFormat="1" ht="20.149999999999999" customHeight="1" x14ac:dyDescent="0.35">
      <c r="B11" s="7" t="s">
        <v>237</v>
      </c>
      <c r="C11" s="29"/>
      <c r="D11" s="29"/>
      <c r="E11" s="293">
        <v>85</v>
      </c>
      <c r="F11" s="294"/>
      <c r="G11" s="7" t="s">
        <v>243</v>
      </c>
      <c r="H11" s="29"/>
      <c r="I11" s="8"/>
      <c r="J11" s="197"/>
      <c r="K11" s="198">
        <v>0.1</v>
      </c>
      <c r="L11" s="171" t="s">
        <v>326</v>
      </c>
      <c r="M11" s="29"/>
      <c r="N11" s="645">
        <f>-PV(S12,E12-E9,S14,,1)</f>
        <v>16479514.072091183</v>
      </c>
      <c r="O11" s="646"/>
      <c r="Q11" t="s">
        <v>246</v>
      </c>
    </row>
    <row r="12" spans="1:20" customFormat="1" ht="20.149999999999999" customHeight="1" x14ac:dyDescent="0.35">
      <c r="B12" s="7" t="s">
        <v>239</v>
      </c>
      <c r="C12" s="29"/>
      <c r="D12" s="29"/>
      <c r="E12" s="293">
        <v>85</v>
      </c>
      <c r="F12" s="294"/>
      <c r="G12" s="7" t="s">
        <v>325</v>
      </c>
      <c r="H12" s="29"/>
      <c r="I12" s="8"/>
      <c r="J12" s="648">
        <v>5000000</v>
      </c>
      <c r="K12" s="649"/>
      <c r="L12" s="171" t="s">
        <v>337</v>
      </c>
      <c r="M12" s="168"/>
      <c r="N12" s="650">
        <f>N11-J12</f>
        <v>11479514.072091183</v>
      </c>
      <c r="O12" s="651"/>
      <c r="Q12" t="s">
        <v>202</v>
      </c>
      <c r="S12" s="91">
        <f>((1+K11)/(1+E16))-1</f>
        <v>2.8037383177570208E-2</v>
      </c>
    </row>
    <row r="13" spans="1:20" ht="19.5" customHeight="1" x14ac:dyDescent="0.35">
      <c r="B13" s="7" t="s">
        <v>240</v>
      </c>
      <c r="C13" s="167"/>
      <c r="D13" s="167"/>
      <c r="E13" s="293">
        <v>50000</v>
      </c>
      <c r="F13" s="294"/>
      <c r="G13" s="163" t="str">
        <f>UPPER("Health insurance details")</f>
        <v>HEALTH INSURANCE DETAILS</v>
      </c>
      <c r="H13" s="164"/>
      <c r="I13" s="165"/>
      <c r="J13" s="165"/>
      <c r="K13" s="9"/>
      <c r="L13" s="9"/>
      <c r="M13" s="9"/>
      <c r="N13" s="9"/>
      <c r="O13" s="9"/>
      <c r="Q13" t="s">
        <v>244</v>
      </c>
      <c r="R13"/>
      <c r="S13" s="93">
        <f>E13</f>
        <v>50000</v>
      </c>
      <c r="T13"/>
    </row>
    <row r="14" spans="1:20" ht="20.149999999999999" customHeight="1" x14ac:dyDescent="0.35">
      <c r="B14" s="13" t="s">
        <v>321</v>
      </c>
      <c r="C14" s="111"/>
      <c r="D14" s="111"/>
      <c r="E14" s="111"/>
      <c r="F14" s="111"/>
      <c r="G14" s="7" t="s">
        <v>338</v>
      </c>
      <c r="H14" s="11"/>
      <c r="I14" s="10"/>
      <c r="J14" s="648">
        <v>1000000</v>
      </c>
      <c r="K14" s="648"/>
      <c r="L14" s="8" t="s">
        <v>339</v>
      </c>
      <c r="M14" s="11"/>
      <c r="N14" s="648">
        <v>500000</v>
      </c>
      <c r="O14" s="649"/>
      <c r="Q14" t="s">
        <v>245</v>
      </c>
      <c r="R14"/>
      <c r="S14" s="92">
        <f>S13*12</f>
        <v>600000</v>
      </c>
      <c r="T14"/>
    </row>
    <row r="15" spans="1:20" ht="20.149999999999999" customHeight="1" x14ac:dyDescent="0.35">
      <c r="B15" s="7" t="s">
        <v>322</v>
      </c>
      <c r="C15" s="167"/>
      <c r="D15" s="167"/>
      <c r="E15" s="293">
        <v>25000</v>
      </c>
      <c r="F15" s="294"/>
      <c r="G15" s="163" t="str">
        <f>UPPER("Emergency fund details")</f>
        <v>EMERGENCY FUND DETAILS</v>
      </c>
      <c r="H15" s="73"/>
      <c r="I15" s="166"/>
      <c r="J15" s="73"/>
      <c r="K15" s="10"/>
      <c r="L15" s="10"/>
      <c r="M15" s="10"/>
      <c r="Q15"/>
      <c r="R15"/>
      <c r="S15"/>
      <c r="T15"/>
    </row>
    <row r="16" spans="1:20" customFormat="1" ht="20.149999999999999" customHeight="1" x14ac:dyDescent="0.35">
      <c r="B16" s="7" t="s">
        <v>46</v>
      </c>
      <c r="C16" s="167"/>
      <c r="D16" s="167"/>
      <c r="E16" s="280">
        <v>7.0000000000000007E-2</v>
      </c>
      <c r="F16" s="281"/>
      <c r="G16" s="658" t="s">
        <v>329</v>
      </c>
      <c r="H16" s="659"/>
      <c r="I16" s="659"/>
      <c r="J16" s="169">
        <v>6</v>
      </c>
      <c r="K16" s="13" t="s">
        <v>330</v>
      </c>
      <c r="N16" s="652">
        <f>J16*(E13+E15)</f>
        <v>450000</v>
      </c>
      <c r="O16" s="652"/>
    </row>
    <row r="17" spans="2:17" customFormat="1" ht="20.149999999999999" customHeight="1" x14ac:dyDescent="0.35">
      <c r="B17" s="171" t="s">
        <v>327</v>
      </c>
      <c r="D17" s="653" t="s">
        <v>344</v>
      </c>
      <c r="E17" s="653"/>
      <c r="F17" s="653"/>
      <c r="G17" s="199">
        <v>0.08</v>
      </c>
      <c r="H17" s="654" t="s">
        <v>345</v>
      </c>
      <c r="I17" s="653"/>
      <c r="J17" s="653"/>
      <c r="K17" s="655"/>
      <c r="L17" s="200">
        <v>0.1</v>
      </c>
      <c r="M17" s="656" t="s">
        <v>328</v>
      </c>
      <c r="N17" s="657"/>
      <c r="O17" s="201">
        <v>0.12</v>
      </c>
    </row>
    <row r="18" spans="2:17" ht="20.149999999999999" customHeight="1" x14ac:dyDescent="0.35">
      <c r="B18" s="284" t="str">
        <f t="shared" ref="B18" si="1">UPPER("Goal name")</f>
        <v>GOAL NAME</v>
      </c>
      <c r="C18" s="285"/>
      <c r="D18" s="285"/>
      <c r="E18" s="285"/>
      <c r="F18" s="285" t="str">
        <f t="shared" ref="F18" si="2">UPPER("Current Cost")</f>
        <v>CURRENT COST</v>
      </c>
      <c r="G18" s="285"/>
      <c r="H18" s="151" t="str">
        <f>UPPER("Years")</f>
        <v>YEARS</v>
      </c>
      <c r="I18" s="170" t="s">
        <v>340</v>
      </c>
      <c r="J18" s="643" t="s">
        <v>341</v>
      </c>
      <c r="K18" s="643"/>
      <c r="L18" s="643" t="s">
        <v>342</v>
      </c>
      <c r="M18" s="643"/>
      <c r="N18" s="643" t="s">
        <v>343</v>
      </c>
      <c r="O18" s="644"/>
    </row>
    <row r="19" spans="2:17" ht="20.149999999999999" customHeight="1" x14ac:dyDescent="0.35">
      <c r="B19" s="638" t="s">
        <v>331</v>
      </c>
      <c r="C19" s="639"/>
      <c r="D19" s="639"/>
      <c r="E19" s="640"/>
      <c r="F19" s="641">
        <v>1000000</v>
      </c>
      <c r="G19" s="642"/>
      <c r="H19" s="202">
        <v>4</v>
      </c>
      <c r="I19" s="203">
        <v>7.0000000000000007E-2</v>
      </c>
      <c r="J19" s="636">
        <f t="shared" ref="J19" si="3">FV(I19,H19,,-F19)</f>
        <v>1310796.01</v>
      </c>
      <c r="K19" s="637"/>
      <c r="L19" s="636">
        <f>-PV(Q19,H19,,J19,)</f>
        <v>895291.31206884747</v>
      </c>
      <c r="M19" s="637"/>
      <c r="N19" s="636">
        <f t="shared" ref="N19" si="4">IFERROR(-PMT((1+Q19)^(1/12)-1,H19*12,,J19,1),0)</f>
        <v>22343.851248801144</v>
      </c>
      <c r="O19" s="637"/>
      <c r="Q19" s="88">
        <f t="shared" ref="Q19:Q30" si="5">IF(H19&lt;3,$G$17, IF(H19&gt;5,$O$17,$L$17))</f>
        <v>0.1</v>
      </c>
    </row>
    <row r="20" spans="2:17" ht="20.149999999999999" customHeight="1" x14ac:dyDescent="0.35">
      <c r="B20" s="638"/>
      <c r="C20" s="639"/>
      <c r="D20" s="639"/>
      <c r="E20" s="640"/>
      <c r="F20" s="641"/>
      <c r="G20" s="642"/>
      <c r="H20" s="202"/>
      <c r="I20" s="203"/>
      <c r="J20" s="636">
        <f t="shared" ref="J20:J30" si="6">FV(I20,H20,,-F20)</f>
        <v>0</v>
      </c>
      <c r="K20" s="637"/>
      <c r="L20" s="636">
        <f t="shared" ref="L20:L30" si="7">-PV(Q20,H20,,J20,)</f>
        <v>0</v>
      </c>
      <c r="M20" s="637"/>
      <c r="N20" s="636">
        <f t="shared" ref="N20:N30" si="8">IFERROR(-PMT((1+Q20)^(1/12)-1,H20*12,,J20,1),0)</f>
        <v>0</v>
      </c>
      <c r="O20" s="637"/>
      <c r="Q20" s="88">
        <f t="shared" si="5"/>
        <v>0.08</v>
      </c>
    </row>
    <row r="21" spans="2:17" customFormat="1" ht="20.149999999999999" customHeight="1" x14ac:dyDescent="0.35">
      <c r="B21" s="638"/>
      <c r="C21" s="639"/>
      <c r="D21" s="639"/>
      <c r="E21" s="640"/>
      <c r="F21" s="641"/>
      <c r="G21" s="642"/>
      <c r="H21" s="202"/>
      <c r="I21" s="203"/>
      <c r="J21" s="636">
        <f t="shared" si="6"/>
        <v>0</v>
      </c>
      <c r="K21" s="637"/>
      <c r="L21" s="636">
        <f t="shared" si="7"/>
        <v>0</v>
      </c>
      <c r="M21" s="637"/>
      <c r="N21" s="636">
        <f t="shared" si="8"/>
        <v>0</v>
      </c>
      <c r="O21" s="637"/>
      <c r="Q21" s="88">
        <f t="shared" si="5"/>
        <v>0.08</v>
      </c>
    </row>
    <row r="22" spans="2:17" ht="20.149999999999999" customHeight="1" x14ac:dyDescent="0.35">
      <c r="B22" s="638"/>
      <c r="C22" s="639"/>
      <c r="D22" s="639"/>
      <c r="E22" s="640"/>
      <c r="F22" s="641"/>
      <c r="G22" s="642"/>
      <c r="H22" s="202"/>
      <c r="I22" s="203"/>
      <c r="J22" s="636">
        <f t="shared" si="6"/>
        <v>0</v>
      </c>
      <c r="K22" s="637"/>
      <c r="L22" s="636">
        <f t="shared" si="7"/>
        <v>0</v>
      </c>
      <c r="M22" s="637"/>
      <c r="N22" s="636">
        <f t="shared" si="8"/>
        <v>0</v>
      </c>
      <c r="O22" s="637"/>
      <c r="Q22" s="88">
        <f t="shared" si="5"/>
        <v>0.08</v>
      </c>
    </row>
    <row r="23" spans="2:17" ht="20.149999999999999" customHeight="1" x14ac:dyDescent="0.35">
      <c r="B23" s="638"/>
      <c r="C23" s="639"/>
      <c r="D23" s="639"/>
      <c r="E23" s="640"/>
      <c r="F23" s="641"/>
      <c r="G23" s="642"/>
      <c r="H23" s="202"/>
      <c r="I23" s="203"/>
      <c r="J23" s="636">
        <f t="shared" si="6"/>
        <v>0</v>
      </c>
      <c r="K23" s="637"/>
      <c r="L23" s="636">
        <f t="shared" si="7"/>
        <v>0</v>
      </c>
      <c r="M23" s="637"/>
      <c r="N23" s="636">
        <f t="shared" si="8"/>
        <v>0</v>
      </c>
      <c r="O23" s="637"/>
      <c r="Q23" s="88">
        <f t="shared" si="5"/>
        <v>0.08</v>
      </c>
    </row>
    <row r="24" spans="2:17" ht="20.149999999999999" customHeight="1" x14ac:dyDescent="0.35">
      <c r="B24" s="638"/>
      <c r="C24" s="639"/>
      <c r="D24" s="639"/>
      <c r="E24" s="640"/>
      <c r="F24" s="641"/>
      <c r="G24" s="642"/>
      <c r="H24" s="202"/>
      <c r="I24" s="203"/>
      <c r="J24" s="636">
        <f t="shared" si="6"/>
        <v>0</v>
      </c>
      <c r="K24" s="637"/>
      <c r="L24" s="636">
        <f t="shared" si="7"/>
        <v>0</v>
      </c>
      <c r="M24" s="637"/>
      <c r="N24" s="636">
        <f t="shared" si="8"/>
        <v>0</v>
      </c>
      <c r="O24" s="637"/>
      <c r="Q24" s="88">
        <f t="shared" si="5"/>
        <v>0.08</v>
      </c>
    </row>
    <row r="25" spans="2:17" ht="20.149999999999999" customHeight="1" x14ac:dyDescent="0.35">
      <c r="B25" s="638"/>
      <c r="C25" s="639"/>
      <c r="D25" s="639"/>
      <c r="E25" s="640"/>
      <c r="F25" s="641"/>
      <c r="G25" s="642"/>
      <c r="H25" s="202"/>
      <c r="I25" s="203"/>
      <c r="J25" s="636">
        <f t="shared" si="6"/>
        <v>0</v>
      </c>
      <c r="K25" s="637"/>
      <c r="L25" s="636">
        <f t="shared" si="7"/>
        <v>0</v>
      </c>
      <c r="M25" s="637"/>
      <c r="N25" s="636">
        <f t="shared" si="8"/>
        <v>0</v>
      </c>
      <c r="O25" s="637"/>
      <c r="Q25" s="88">
        <f t="shared" si="5"/>
        <v>0.08</v>
      </c>
    </row>
    <row r="26" spans="2:17" ht="20.149999999999999" customHeight="1" x14ac:dyDescent="0.35">
      <c r="B26" s="638"/>
      <c r="C26" s="639"/>
      <c r="D26" s="639"/>
      <c r="E26" s="640"/>
      <c r="F26" s="641"/>
      <c r="G26" s="642"/>
      <c r="H26" s="202"/>
      <c r="I26" s="203"/>
      <c r="J26" s="636">
        <f t="shared" si="6"/>
        <v>0</v>
      </c>
      <c r="K26" s="637"/>
      <c r="L26" s="636">
        <f t="shared" si="7"/>
        <v>0</v>
      </c>
      <c r="M26" s="637"/>
      <c r="N26" s="636">
        <f t="shared" si="8"/>
        <v>0</v>
      </c>
      <c r="O26" s="637"/>
      <c r="Q26" s="88">
        <f t="shared" si="5"/>
        <v>0.08</v>
      </c>
    </row>
    <row r="27" spans="2:17" ht="20.149999999999999" customHeight="1" x14ac:dyDescent="0.35">
      <c r="B27" s="638"/>
      <c r="C27" s="639"/>
      <c r="D27" s="639"/>
      <c r="E27" s="640"/>
      <c r="F27" s="641"/>
      <c r="G27" s="642"/>
      <c r="H27" s="202"/>
      <c r="I27" s="203"/>
      <c r="J27" s="636">
        <f t="shared" si="6"/>
        <v>0</v>
      </c>
      <c r="K27" s="637"/>
      <c r="L27" s="636">
        <f t="shared" si="7"/>
        <v>0</v>
      </c>
      <c r="M27" s="637"/>
      <c r="N27" s="636">
        <f t="shared" si="8"/>
        <v>0</v>
      </c>
      <c r="O27" s="637"/>
      <c r="Q27" s="88">
        <f t="shared" si="5"/>
        <v>0.08</v>
      </c>
    </row>
    <row r="28" spans="2:17" ht="20.149999999999999" customHeight="1" x14ac:dyDescent="0.35">
      <c r="B28" s="638"/>
      <c r="C28" s="639"/>
      <c r="D28" s="639"/>
      <c r="E28" s="640"/>
      <c r="F28" s="641"/>
      <c r="G28" s="642"/>
      <c r="H28" s="202"/>
      <c r="I28" s="203"/>
      <c r="J28" s="636">
        <f t="shared" si="6"/>
        <v>0</v>
      </c>
      <c r="K28" s="637"/>
      <c r="L28" s="636">
        <f t="shared" si="7"/>
        <v>0</v>
      </c>
      <c r="M28" s="637"/>
      <c r="N28" s="636">
        <f t="shared" si="8"/>
        <v>0</v>
      </c>
      <c r="O28" s="637"/>
      <c r="Q28" s="88">
        <f t="shared" si="5"/>
        <v>0.08</v>
      </c>
    </row>
    <row r="29" spans="2:17" ht="20.149999999999999" customHeight="1" x14ac:dyDescent="0.35">
      <c r="B29" s="638"/>
      <c r="C29" s="639"/>
      <c r="D29" s="639"/>
      <c r="E29" s="640"/>
      <c r="F29" s="641"/>
      <c r="G29" s="642"/>
      <c r="H29" s="202"/>
      <c r="I29" s="203"/>
      <c r="J29" s="636">
        <f t="shared" si="6"/>
        <v>0</v>
      </c>
      <c r="K29" s="637"/>
      <c r="L29" s="636">
        <f t="shared" si="7"/>
        <v>0</v>
      </c>
      <c r="M29" s="637"/>
      <c r="N29" s="636">
        <f t="shared" si="8"/>
        <v>0</v>
      </c>
      <c r="O29" s="637"/>
      <c r="Q29" s="88">
        <f t="shared" si="5"/>
        <v>0.08</v>
      </c>
    </row>
    <row r="30" spans="2:17" ht="20.149999999999999" customHeight="1" x14ac:dyDescent="0.35">
      <c r="B30" s="638"/>
      <c r="C30" s="639"/>
      <c r="D30" s="639"/>
      <c r="E30" s="640"/>
      <c r="F30" s="641"/>
      <c r="G30" s="642"/>
      <c r="H30" s="202"/>
      <c r="I30" s="203"/>
      <c r="J30" s="636">
        <f t="shared" si="6"/>
        <v>0</v>
      </c>
      <c r="K30" s="637"/>
      <c r="L30" s="636">
        <f t="shared" si="7"/>
        <v>0</v>
      </c>
      <c r="M30" s="637"/>
      <c r="N30" s="636">
        <f t="shared" si="8"/>
        <v>0</v>
      </c>
      <c r="O30" s="637"/>
      <c r="Q30" s="88">
        <f t="shared" si="5"/>
        <v>0.08</v>
      </c>
    </row>
    <row r="31" spans="2:17" ht="14.5" customHeight="1" x14ac:dyDescent="0.35"/>
    <row r="32" spans="2:17" ht="14.5" hidden="1" customHeight="1" x14ac:dyDescent="0.35"/>
    <row r="33" ht="14.5" hidden="1" customHeight="1" x14ac:dyDescent="0.35"/>
    <row r="34" ht="14.5" hidden="1" customHeight="1" x14ac:dyDescent="0.35"/>
    <row r="35" ht="14.5" hidden="1" customHeight="1" x14ac:dyDescent="0.35"/>
    <row r="36" ht="14.5" hidden="1" customHeight="1" x14ac:dyDescent="0.35"/>
    <row r="37" ht="14.5" hidden="1" customHeight="1" x14ac:dyDescent="0.35"/>
    <row r="38" ht="14.5" hidden="1" customHeight="1" x14ac:dyDescent="0.35"/>
    <row r="39" ht="14.5" hidden="1" customHeight="1" x14ac:dyDescent="0.35"/>
    <row r="40" ht="14.5" hidden="1" customHeight="1" x14ac:dyDescent="0.35"/>
    <row r="41" ht="14.5" hidden="1" customHeight="1" x14ac:dyDescent="0.35"/>
    <row r="42" ht="14.5" hidden="1" customHeight="1" x14ac:dyDescent="0.35"/>
    <row r="43" ht="14.5" hidden="1" customHeight="1" x14ac:dyDescent="0.35"/>
    <row r="44" ht="14.5" hidden="1" customHeight="1" x14ac:dyDescent="0.35"/>
    <row r="45" ht="14.5" hidden="1" customHeight="1" x14ac:dyDescent="0.35"/>
    <row r="46" ht="14.5" hidden="1" customHeight="1" x14ac:dyDescent="0.35"/>
    <row r="47" ht="14.5" hidden="1" customHeight="1" x14ac:dyDescent="0.35"/>
    <row r="48" ht="14.5" hidden="1" customHeight="1" x14ac:dyDescent="0.35"/>
    <row r="49" ht="14.5" hidden="1" customHeight="1" x14ac:dyDescent="0.35"/>
    <row r="50" ht="14.5" hidden="1" customHeight="1" x14ac:dyDescent="0.35"/>
    <row r="51" ht="14.5" hidden="1" customHeight="1" x14ac:dyDescent="0.35"/>
    <row r="52" ht="14.5" hidden="1" customHeight="1" x14ac:dyDescent="0.35"/>
    <row r="53" ht="14.5" hidden="1" customHeight="1" x14ac:dyDescent="0.35"/>
    <row r="54" ht="14.5" hidden="1" customHeight="1" x14ac:dyDescent="0.35"/>
    <row r="55" ht="14.5" hidden="1" customHeight="1" x14ac:dyDescent="0.35"/>
    <row r="56" ht="14.5" hidden="1" customHeight="1" x14ac:dyDescent="0.35"/>
    <row r="57" ht="14.5" hidden="1" customHeight="1" x14ac:dyDescent="0.35"/>
    <row r="58" ht="14.5" hidden="1" customHeight="1" x14ac:dyDescent="0.35"/>
    <row r="59" ht="14.5" hidden="1" customHeight="1" x14ac:dyDescent="0.35"/>
    <row r="60" ht="14.5" hidden="1" customHeight="1" x14ac:dyDescent="0.35"/>
    <row r="61" ht="14.5" hidden="1" customHeight="1" x14ac:dyDescent="0.35"/>
    <row r="62" ht="14.5" hidden="1" customHeight="1" x14ac:dyDescent="0.35"/>
    <row r="63" ht="14.5" hidden="1" customHeight="1" x14ac:dyDescent="0.35"/>
    <row r="64" ht="14.5" hidden="1" customHeight="1" x14ac:dyDescent="0.35"/>
    <row r="65" ht="14.5" hidden="1" customHeight="1" x14ac:dyDescent="0.35"/>
    <row r="66" ht="14.5" hidden="1" customHeight="1" x14ac:dyDescent="0.35"/>
    <row r="67" ht="14.5" hidden="1" customHeight="1" x14ac:dyDescent="0.35"/>
    <row r="68" ht="14.5" hidden="1" customHeight="1" x14ac:dyDescent="0.35"/>
    <row r="69" ht="14.5" hidden="1" customHeight="1" x14ac:dyDescent="0.35"/>
    <row r="70" ht="14.5" hidden="1" customHeight="1" x14ac:dyDescent="0.35"/>
    <row r="71" ht="14.5" hidden="1" customHeight="1" x14ac:dyDescent="0.35"/>
    <row r="72" ht="14.5" hidden="1" customHeight="1" x14ac:dyDescent="0.35"/>
    <row r="73" ht="14.5" hidden="1" customHeight="1" x14ac:dyDescent="0.35"/>
    <row r="74" ht="14.5" hidden="1" customHeight="1" x14ac:dyDescent="0.35"/>
    <row r="75" ht="14.5" hidden="1" customHeight="1" x14ac:dyDescent="0.35"/>
    <row r="76" ht="14.5" hidden="1" customHeight="1" x14ac:dyDescent="0.35"/>
    <row r="77" ht="14.5" hidden="1" customHeight="1" x14ac:dyDescent="0.35"/>
    <row r="78" ht="14.5" hidden="1" customHeight="1" x14ac:dyDescent="0.35"/>
    <row r="79" ht="14.5" hidden="1" customHeight="1" x14ac:dyDescent="0.35"/>
    <row r="80" ht="14.5" hidden="1" customHeight="1" x14ac:dyDescent="0.35"/>
    <row r="81" ht="14.5" hidden="1" customHeight="1" x14ac:dyDescent="0.35"/>
    <row r="82" ht="14.5" hidden="1" customHeight="1" x14ac:dyDescent="0.35"/>
    <row r="83" ht="14.5" hidden="1" customHeight="1" x14ac:dyDescent="0.35"/>
    <row r="84" ht="14.5" hidden="1" customHeight="1" x14ac:dyDescent="0.35"/>
    <row r="85" ht="14.5" hidden="1" customHeight="1" x14ac:dyDescent="0.35"/>
    <row r="86" ht="14.5" hidden="1" customHeight="1" x14ac:dyDescent="0.35"/>
    <row r="87" ht="14.5" hidden="1" customHeight="1" x14ac:dyDescent="0.35"/>
    <row r="88" ht="14.5" hidden="1" customHeight="1" x14ac:dyDescent="0.35"/>
    <row r="89" ht="14.5" hidden="1" customHeight="1" x14ac:dyDescent="0.35"/>
    <row r="90" ht="14.5" hidden="1" customHeight="1" x14ac:dyDescent="0.35"/>
    <row r="91" ht="14.5" hidden="1" customHeight="1" x14ac:dyDescent="0.35"/>
    <row r="92" ht="14.5" hidden="1" customHeight="1" x14ac:dyDescent="0.35"/>
    <row r="93" ht="14.5" hidden="1" customHeight="1" x14ac:dyDescent="0.35"/>
    <row r="94" ht="14.5" hidden="1" customHeight="1" x14ac:dyDescent="0.35"/>
    <row r="95" ht="14.5" hidden="1" customHeight="1" x14ac:dyDescent="0.35"/>
    <row r="96" ht="14.5" hidden="1" customHeight="1" x14ac:dyDescent="0.35"/>
    <row r="97" ht="14.5" hidden="1" customHeight="1" x14ac:dyDescent="0.35"/>
    <row r="98" ht="14.5" hidden="1" customHeight="1" x14ac:dyDescent="0.35"/>
    <row r="99" ht="14.5" hidden="1" customHeight="1" x14ac:dyDescent="0.35"/>
    <row r="100" ht="14.5" hidden="1" customHeight="1" x14ac:dyDescent="0.35"/>
    <row r="101" ht="14.5" hidden="1" customHeight="1" x14ac:dyDescent="0.35"/>
    <row r="102" ht="14.5" hidden="1" customHeight="1" x14ac:dyDescent="0.35"/>
    <row r="103" ht="14.5" hidden="1" customHeight="1" x14ac:dyDescent="0.35"/>
    <row r="104" ht="14.5" hidden="1" customHeight="1" x14ac:dyDescent="0.35"/>
    <row r="105" ht="14.5" hidden="1" customHeight="1" x14ac:dyDescent="0.35"/>
    <row r="106" ht="14.5" hidden="1" customHeight="1" x14ac:dyDescent="0.35"/>
    <row r="107" ht="14.5" hidden="1" customHeight="1" x14ac:dyDescent="0.35"/>
    <row r="108" ht="14.5" hidden="1" customHeight="1" x14ac:dyDescent="0.35"/>
    <row r="109" ht="14.5" hidden="1" customHeight="1" x14ac:dyDescent="0.35"/>
    <row r="110" ht="14.5" hidden="1" customHeight="1" x14ac:dyDescent="0.35"/>
    <row r="111" ht="14.5" hidden="1" customHeight="1" x14ac:dyDescent="0.35"/>
    <row r="112" ht="14.5" hidden="1" customHeight="1" x14ac:dyDescent="0.35"/>
    <row r="113" ht="14.5" hidden="1" customHeight="1" x14ac:dyDescent="0.35"/>
    <row r="114" ht="14.5" hidden="1" customHeight="1" x14ac:dyDescent="0.35"/>
    <row r="115" ht="14.5" hidden="1" customHeight="1" x14ac:dyDescent="0.35"/>
    <row r="116" ht="14.5" hidden="1" customHeight="1" x14ac:dyDescent="0.35"/>
    <row r="117" ht="14.5" hidden="1" customHeight="1" x14ac:dyDescent="0.35"/>
    <row r="118" ht="14.5" hidden="1" customHeight="1" x14ac:dyDescent="0.35"/>
    <row r="119" ht="14.5" hidden="1" customHeight="1" x14ac:dyDescent="0.35"/>
    <row r="120" ht="14.5" hidden="1" customHeight="1" x14ac:dyDescent="0.35"/>
    <row r="121" ht="14.5" hidden="1" customHeight="1" x14ac:dyDescent="0.35"/>
    <row r="122" ht="14.5" hidden="1" customHeight="1" x14ac:dyDescent="0.35"/>
    <row r="123" ht="14.5" hidden="1" customHeight="1" x14ac:dyDescent="0.35"/>
    <row r="124" ht="14.5" hidden="1" customHeight="1" x14ac:dyDescent="0.35"/>
    <row r="125" ht="14.5" hidden="1" customHeight="1" x14ac:dyDescent="0.35"/>
    <row r="126" ht="14.5" hidden="1" customHeight="1" x14ac:dyDescent="0.35"/>
    <row r="127" ht="14.5" hidden="1" customHeight="1" x14ac:dyDescent="0.35"/>
    <row r="128" ht="14.5" hidden="1" customHeight="1" x14ac:dyDescent="0.35"/>
    <row r="129" ht="14.5" hidden="1" customHeight="1" x14ac:dyDescent="0.35"/>
    <row r="130" ht="14.5" hidden="1" customHeight="1" x14ac:dyDescent="0.35"/>
    <row r="131" ht="14.5" hidden="1" customHeight="1" x14ac:dyDescent="0.35"/>
    <row r="132" ht="14.5" hidden="1" customHeight="1" x14ac:dyDescent="0.35"/>
    <row r="133" ht="14.5" hidden="1" customHeight="1" x14ac:dyDescent="0.35"/>
    <row r="134" ht="14.5" hidden="1" customHeight="1" x14ac:dyDescent="0.35"/>
    <row r="135" ht="14.5" hidden="1" customHeight="1" x14ac:dyDescent="0.35"/>
    <row r="136" ht="14.5" hidden="1" customHeight="1" x14ac:dyDescent="0.35"/>
    <row r="137" ht="14.5" hidden="1" customHeight="1" x14ac:dyDescent="0.35"/>
    <row r="138" ht="14.5" hidden="1" customHeight="1" x14ac:dyDescent="0.35"/>
    <row r="139" ht="14.5" hidden="1" customHeight="1" x14ac:dyDescent="0.35"/>
    <row r="140" ht="14.5" hidden="1" customHeight="1" x14ac:dyDescent="0.35"/>
    <row r="141" ht="14.5" hidden="1" customHeight="1" x14ac:dyDescent="0.35"/>
    <row r="142" ht="14.5" hidden="1" customHeight="1" x14ac:dyDescent="0.35"/>
    <row r="143" ht="14.5" hidden="1" customHeight="1" x14ac:dyDescent="0.35"/>
    <row r="144" ht="14.5" hidden="1" customHeight="1" x14ac:dyDescent="0.35"/>
    <row r="145" ht="14.5" hidden="1" customHeight="1" x14ac:dyDescent="0.35"/>
    <row r="146" ht="14.5" hidden="1" customHeight="1" x14ac:dyDescent="0.35"/>
    <row r="147" ht="14.5" hidden="1" customHeight="1" x14ac:dyDescent="0.35"/>
    <row r="148" ht="14.5" hidden="1" customHeight="1" x14ac:dyDescent="0.35"/>
    <row r="149" ht="14.5" hidden="1" customHeight="1" x14ac:dyDescent="0.35"/>
    <row r="150" ht="14.5" hidden="1" customHeight="1" x14ac:dyDescent="0.35"/>
    <row r="151" ht="14.5" hidden="1" customHeight="1" x14ac:dyDescent="0.35"/>
    <row r="152" ht="14.5" hidden="1" customHeight="1" x14ac:dyDescent="0.35"/>
    <row r="153" ht="14.5" hidden="1" customHeight="1" x14ac:dyDescent="0.35"/>
    <row r="154" ht="14.5" hidden="1" customHeight="1" x14ac:dyDescent="0.35"/>
    <row r="155" ht="14.5" hidden="1" customHeight="1" x14ac:dyDescent="0.35"/>
    <row r="156" ht="14.5" hidden="1" customHeight="1" x14ac:dyDescent="0.35"/>
    <row r="157" ht="14.5" hidden="1" customHeight="1" x14ac:dyDescent="0.35"/>
    <row r="158" ht="14.5" hidden="1" customHeight="1" x14ac:dyDescent="0.35"/>
    <row r="159" ht="14.5" hidden="1" customHeight="1" x14ac:dyDescent="0.35"/>
    <row r="160" ht="14.5" hidden="1" customHeight="1" x14ac:dyDescent="0.35"/>
    <row r="161" ht="14.5" hidden="1" customHeight="1" x14ac:dyDescent="0.35"/>
    <row r="162" ht="14.5" hidden="1" customHeight="1" x14ac:dyDescent="0.35"/>
    <row r="163" ht="14.5" hidden="1" customHeight="1" x14ac:dyDescent="0.35"/>
    <row r="164" ht="14.5" hidden="1" customHeight="1" x14ac:dyDescent="0.35"/>
    <row r="165" ht="14.5" hidden="1" customHeight="1" x14ac:dyDescent="0.35"/>
    <row r="166" ht="14.5" hidden="1" customHeight="1" x14ac:dyDescent="0.35"/>
    <row r="167" ht="14.5" hidden="1" customHeight="1" x14ac:dyDescent="0.35"/>
    <row r="168" ht="14.5" hidden="1" customHeight="1" x14ac:dyDescent="0.35"/>
    <row r="169" ht="14.5" hidden="1" customHeight="1" x14ac:dyDescent="0.35"/>
    <row r="170" ht="14.5" hidden="1" customHeight="1" x14ac:dyDescent="0.35"/>
    <row r="171" ht="14.5" hidden="1" customHeight="1" x14ac:dyDescent="0.35"/>
    <row r="172" ht="14.5" hidden="1" customHeight="1" x14ac:dyDescent="0.35"/>
    <row r="173" ht="14.5" hidden="1" customHeight="1" x14ac:dyDescent="0.35"/>
    <row r="174" ht="14.5" hidden="1" customHeight="1" x14ac:dyDescent="0.35"/>
    <row r="175" ht="14.5" hidden="1" customHeight="1" x14ac:dyDescent="0.35"/>
    <row r="176" ht="14.5" hidden="1" customHeight="1" x14ac:dyDescent="0.35"/>
    <row r="177" ht="14.5" hidden="1" customHeight="1" x14ac:dyDescent="0.35"/>
    <row r="178" ht="14.5" hidden="1" customHeight="1" x14ac:dyDescent="0.35"/>
    <row r="179" ht="14.5" hidden="1" customHeight="1" x14ac:dyDescent="0.35"/>
    <row r="180" ht="14.5" hidden="1" customHeight="1" x14ac:dyDescent="0.35"/>
    <row r="181" ht="14.5" hidden="1" customHeight="1" x14ac:dyDescent="0.35"/>
    <row r="182" ht="14.5" hidden="1" customHeight="1" x14ac:dyDescent="0.35"/>
    <row r="183" ht="14.5" hidden="1" customHeight="1" x14ac:dyDescent="0.35"/>
    <row r="184" ht="14.5" hidden="1" customHeight="1" x14ac:dyDescent="0.35"/>
    <row r="185" ht="14.5" hidden="1" customHeight="1" x14ac:dyDescent="0.35"/>
    <row r="186" ht="14.5" hidden="1" customHeight="1" x14ac:dyDescent="0.35"/>
    <row r="187" ht="14.5" hidden="1" customHeight="1" x14ac:dyDescent="0.35"/>
    <row r="188" ht="14.5" hidden="1" customHeight="1" x14ac:dyDescent="0.35"/>
    <row r="189" ht="14.5" hidden="1" customHeight="1" x14ac:dyDescent="0.35"/>
    <row r="190" ht="14.5" hidden="1" customHeight="1" x14ac:dyDescent="0.35"/>
    <row r="191" ht="14.5" hidden="1" customHeight="1" x14ac:dyDescent="0.35"/>
    <row r="192" ht="14.5" hidden="1" customHeight="1" x14ac:dyDescent="0.35"/>
    <row r="193" ht="14.5" hidden="1" customHeight="1" x14ac:dyDescent="0.35"/>
    <row r="194" ht="14.5" hidden="1" customHeight="1" x14ac:dyDescent="0.35"/>
    <row r="195" ht="14.5" hidden="1" customHeight="1" x14ac:dyDescent="0.35"/>
    <row r="196" ht="14.5" hidden="1" customHeight="1" x14ac:dyDescent="0.35"/>
    <row r="197" ht="14.5" hidden="1" customHeight="1" x14ac:dyDescent="0.35"/>
    <row r="198" ht="14.5" hidden="1" customHeight="1" x14ac:dyDescent="0.35"/>
    <row r="199" ht="14.5" hidden="1" customHeight="1" x14ac:dyDescent="0.35"/>
    <row r="200" ht="14.5" hidden="1" customHeight="1" x14ac:dyDescent="0.35"/>
    <row r="201" ht="14.5" hidden="1" customHeight="1" x14ac:dyDescent="0.35"/>
    <row r="202" ht="14.5" hidden="1" customHeight="1" x14ac:dyDescent="0.35"/>
    <row r="203" ht="14.5" hidden="1" customHeight="1" x14ac:dyDescent="0.35"/>
    <row r="204" ht="14.5" hidden="1" customHeight="1" x14ac:dyDescent="0.35"/>
    <row r="205" ht="14.5" hidden="1" customHeight="1" x14ac:dyDescent="0.35"/>
    <row r="206" ht="14.5" hidden="1" customHeight="1" x14ac:dyDescent="0.35"/>
    <row r="207" ht="14.5" hidden="1" customHeight="1" x14ac:dyDescent="0.35"/>
    <row r="208" ht="14.5" hidden="1" customHeight="1" x14ac:dyDescent="0.35"/>
    <row r="209" ht="14.5" hidden="1" customHeight="1" x14ac:dyDescent="0.35"/>
    <row r="210" ht="14.5" hidden="1" customHeight="1" x14ac:dyDescent="0.35"/>
    <row r="211" ht="14.5" hidden="1" customHeight="1" x14ac:dyDescent="0.35"/>
    <row r="212" ht="14.5" hidden="1" customHeight="1" x14ac:dyDescent="0.35"/>
    <row r="213" ht="14.5" hidden="1" customHeight="1" x14ac:dyDescent="0.35"/>
    <row r="214" ht="14.5" hidden="1" customHeight="1" x14ac:dyDescent="0.35"/>
    <row r="215" ht="14.5" hidden="1" customHeight="1" x14ac:dyDescent="0.35"/>
    <row r="216" ht="14.5" hidden="1" customHeight="1" x14ac:dyDescent="0.35"/>
    <row r="217" ht="14.5" hidden="1" customHeight="1" x14ac:dyDescent="0.35"/>
    <row r="218" ht="14.5" hidden="1" customHeight="1" x14ac:dyDescent="0.35"/>
    <row r="219" ht="14.5" hidden="1" customHeight="1" x14ac:dyDescent="0.35"/>
    <row r="220" ht="14.5" hidden="1" customHeight="1" x14ac:dyDescent="0.35"/>
    <row r="221" ht="14.5" hidden="1" customHeight="1" x14ac:dyDescent="0.35"/>
    <row r="222" ht="14.5" hidden="1" customHeight="1" x14ac:dyDescent="0.35"/>
    <row r="223" ht="14.5" hidden="1" customHeight="1" x14ac:dyDescent="0.35"/>
    <row r="224" ht="14.5" hidden="1" customHeight="1" x14ac:dyDescent="0.35"/>
    <row r="225" ht="14.5" hidden="1" customHeight="1" x14ac:dyDescent="0.35"/>
    <row r="226" ht="14.5" hidden="1" customHeight="1" x14ac:dyDescent="0.35"/>
    <row r="227" ht="14.5" hidden="1" customHeight="1" x14ac:dyDescent="0.35"/>
    <row r="228" ht="14.5" hidden="1" customHeight="1" x14ac:dyDescent="0.35"/>
    <row r="229" ht="14.5" hidden="1" customHeight="1" x14ac:dyDescent="0.35"/>
    <row r="230" ht="14.5" hidden="1" customHeight="1" x14ac:dyDescent="0.35"/>
    <row r="231" ht="14.5" hidden="1" customHeight="1" x14ac:dyDescent="0.35"/>
    <row r="232" ht="14.5" hidden="1" customHeight="1" x14ac:dyDescent="0.35"/>
    <row r="233" ht="14.5" hidden="1" customHeight="1" x14ac:dyDescent="0.35"/>
    <row r="234" ht="14.5" hidden="1" customHeight="1" x14ac:dyDescent="0.35"/>
    <row r="235" ht="14.5" hidden="1" customHeight="1" x14ac:dyDescent="0.35"/>
    <row r="236" ht="14.5" hidden="1" customHeight="1" x14ac:dyDescent="0.35"/>
    <row r="237" ht="14.5" hidden="1" customHeight="1" x14ac:dyDescent="0.35"/>
    <row r="238" ht="14.5" hidden="1" customHeight="1" x14ac:dyDescent="0.35"/>
    <row r="239" ht="14.5" hidden="1" customHeight="1" x14ac:dyDescent="0.35"/>
    <row r="240" ht="14.5" hidden="1" customHeight="1" x14ac:dyDescent="0.35"/>
    <row r="241" ht="14.5" hidden="1" customHeight="1" x14ac:dyDescent="0.35"/>
    <row r="242" ht="14.5" hidden="1" customHeight="1" x14ac:dyDescent="0.35"/>
    <row r="243" ht="14.5" hidden="1" customHeight="1" x14ac:dyDescent="0.35"/>
    <row r="244" ht="14.5" hidden="1" customHeight="1" x14ac:dyDescent="0.35"/>
    <row r="245" ht="14.5" hidden="1" customHeight="1" x14ac:dyDescent="0.35"/>
    <row r="246" ht="14.5" hidden="1" customHeight="1" x14ac:dyDescent="0.35"/>
    <row r="247" ht="14.5" hidden="1" customHeight="1" x14ac:dyDescent="0.35"/>
    <row r="248" ht="14.5" hidden="1" customHeight="1" x14ac:dyDescent="0.35"/>
    <row r="249" ht="14.5" hidden="1" customHeight="1" x14ac:dyDescent="0.35"/>
    <row r="250" ht="14.5" hidden="1" customHeight="1" x14ac:dyDescent="0.35"/>
    <row r="251" ht="14.5" hidden="1" customHeight="1" x14ac:dyDescent="0.35"/>
    <row r="252" ht="14.5" hidden="1" customHeight="1" x14ac:dyDescent="0.35"/>
    <row r="253" ht="14.5" hidden="1" customHeight="1" x14ac:dyDescent="0.35"/>
    <row r="254" ht="14.5" hidden="1" customHeight="1" x14ac:dyDescent="0.35"/>
    <row r="255" ht="14.5" hidden="1" customHeight="1" x14ac:dyDescent="0.35"/>
    <row r="256" ht="14.5" hidden="1" customHeight="1" x14ac:dyDescent="0.35"/>
    <row r="257" ht="14.5" hidden="1" customHeight="1" x14ac:dyDescent="0.35"/>
    <row r="258" ht="14.5" hidden="1" customHeight="1" x14ac:dyDescent="0.35"/>
    <row r="259" ht="14.5" hidden="1" customHeight="1" x14ac:dyDescent="0.35"/>
    <row r="260" ht="14.5" hidden="1" customHeight="1" x14ac:dyDescent="0.35"/>
    <row r="261" ht="14.5" hidden="1" customHeight="1" x14ac:dyDescent="0.35"/>
    <row r="262" ht="14.5" hidden="1" customHeight="1" x14ac:dyDescent="0.35"/>
    <row r="263" ht="14.5" hidden="1" customHeight="1" x14ac:dyDescent="0.35"/>
    <row r="264" ht="14.5" hidden="1" customHeight="1" x14ac:dyDescent="0.35"/>
    <row r="265" ht="14.5" hidden="1" customHeight="1" x14ac:dyDescent="0.35"/>
    <row r="266" ht="14.5" hidden="1" customHeight="1" x14ac:dyDescent="0.35"/>
    <row r="267" ht="14.5" hidden="1" customHeight="1" x14ac:dyDescent="0.35"/>
    <row r="268" ht="14.5" hidden="1" customHeight="1" x14ac:dyDescent="0.35"/>
    <row r="269" ht="14.5" hidden="1" customHeight="1" x14ac:dyDescent="0.35"/>
    <row r="270" ht="14.5" hidden="1" customHeight="1" x14ac:dyDescent="0.35"/>
    <row r="271" ht="14.5" hidden="1" customHeight="1" x14ac:dyDescent="0.35"/>
    <row r="272" ht="14.5" hidden="1" customHeight="1" x14ac:dyDescent="0.35"/>
    <row r="273" ht="14.5" hidden="1" customHeight="1" x14ac:dyDescent="0.35"/>
    <row r="274" ht="14.5" hidden="1" customHeight="1" x14ac:dyDescent="0.35"/>
    <row r="275" ht="14.5" hidden="1" customHeight="1" x14ac:dyDescent="0.35"/>
    <row r="276" ht="14.5" hidden="1" customHeight="1" x14ac:dyDescent="0.35"/>
    <row r="277" ht="14.5" hidden="1" customHeight="1" x14ac:dyDescent="0.35"/>
    <row r="278" ht="14.5" hidden="1" customHeight="1" x14ac:dyDescent="0.35"/>
    <row r="279" ht="14.5" hidden="1" customHeight="1" x14ac:dyDescent="0.35"/>
    <row r="280" ht="14.5" hidden="1" customHeight="1" x14ac:dyDescent="0.35"/>
    <row r="281" ht="14.5" hidden="1" customHeight="1" x14ac:dyDescent="0.35"/>
    <row r="282" ht="14.5" hidden="1" customHeight="1" x14ac:dyDescent="0.35"/>
    <row r="283" ht="14.5" hidden="1" customHeight="1" x14ac:dyDescent="0.35"/>
    <row r="284" ht="14.5" hidden="1" customHeight="1" x14ac:dyDescent="0.35"/>
    <row r="285" ht="14.5" hidden="1" customHeight="1" x14ac:dyDescent="0.35"/>
    <row r="286" ht="14.5" hidden="1" customHeight="1" x14ac:dyDescent="0.35"/>
    <row r="287" ht="14.5" hidden="1" customHeight="1" x14ac:dyDescent="0.35"/>
    <row r="288" ht="14.5" hidden="1" customHeight="1" x14ac:dyDescent="0.35"/>
    <row r="289" ht="14.5" hidden="1" customHeight="1" x14ac:dyDescent="0.35"/>
    <row r="290" ht="14.5" hidden="1" customHeight="1" x14ac:dyDescent="0.35"/>
    <row r="291" ht="14.5" hidden="1" customHeight="1" x14ac:dyDescent="0.35"/>
    <row r="292" ht="14.5" hidden="1" customHeight="1" x14ac:dyDescent="0.35"/>
    <row r="293" ht="14.5" hidden="1" customHeight="1" x14ac:dyDescent="0.35"/>
    <row r="294" ht="14.5" hidden="1" customHeight="1" x14ac:dyDescent="0.35"/>
    <row r="295" ht="14.5" hidden="1" customHeight="1" x14ac:dyDescent="0.35"/>
    <row r="296" ht="14.5" hidden="1" customHeight="1" x14ac:dyDescent="0.35"/>
    <row r="297" ht="14.5" hidden="1" customHeight="1" x14ac:dyDescent="0.35"/>
    <row r="298" ht="14.5" hidden="1" customHeight="1" x14ac:dyDescent="0.35"/>
    <row r="299" ht="14.5" hidden="1" customHeight="1" x14ac:dyDescent="0.35"/>
    <row r="300" ht="14.5" hidden="1" customHeight="1" x14ac:dyDescent="0.35"/>
    <row r="301" ht="14.5" hidden="1" customHeight="1" x14ac:dyDescent="0.35"/>
    <row r="302" ht="14.5" hidden="1" customHeight="1" x14ac:dyDescent="0.35"/>
    <row r="303" ht="14.5" hidden="1" customHeight="1" x14ac:dyDescent="0.35"/>
    <row r="304" ht="14.5" hidden="1" customHeight="1" x14ac:dyDescent="0.35"/>
    <row r="305" ht="14.5" hidden="1" customHeight="1" x14ac:dyDescent="0.35"/>
    <row r="306" ht="14.5" hidden="1" customHeight="1" x14ac:dyDescent="0.35"/>
    <row r="307" ht="14.5" hidden="1" customHeight="1" x14ac:dyDescent="0.35"/>
    <row r="308" ht="14.5" hidden="1" customHeight="1" x14ac:dyDescent="0.35"/>
    <row r="309" ht="14.5" hidden="1" customHeight="1" x14ac:dyDescent="0.35"/>
    <row r="310" ht="14.5" hidden="1" customHeight="1" x14ac:dyDescent="0.35"/>
    <row r="311" ht="14.5" hidden="1" customHeight="1" x14ac:dyDescent="0.35"/>
    <row r="312" ht="14.5" hidden="1" customHeight="1" x14ac:dyDescent="0.35"/>
    <row r="313" ht="14.5" hidden="1" customHeight="1" x14ac:dyDescent="0.35"/>
    <row r="314" ht="14.5" hidden="1" customHeight="1" x14ac:dyDescent="0.35"/>
    <row r="315" ht="14.5" hidden="1" customHeight="1" x14ac:dyDescent="0.35"/>
    <row r="316" ht="14.5" hidden="1" customHeight="1" x14ac:dyDescent="0.35"/>
    <row r="317" ht="14.5" hidden="1" customHeight="1" x14ac:dyDescent="0.35"/>
    <row r="318" ht="14.5" hidden="1" customHeight="1" x14ac:dyDescent="0.35"/>
    <row r="319" ht="14.5" hidden="1" customHeight="1" x14ac:dyDescent="0.35"/>
    <row r="320" ht="14.5" hidden="1" customHeight="1" x14ac:dyDescent="0.35"/>
    <row r="321" ht="14.5" hidden="1" customHeight="1" x14ac:dyDescent="0.35"/>
    <row r="322" ht="14.5" hidden="1" customHeight="1" x14ac:dyDescent="0.35"/>
    <row r="323" ht="14.5" hidden="1" customHeight="1" x14ac:dyDescent="0.35"/>
    <row r="324" ht="14.5" hidden="1" customHeight="1" x14ac:dyDescent="0.35"/>
    <row r="325" ht="14.5" hidden="1" customHeight="1" x14ac:dyDescent="0.35"/>
    <row r="326" ht="14.5" hidden="1" customHeight="1" x14ac:dyDescent="0.35"/>
    <row r="327" ht="14.5" hidden="1" customHeight="1" x14ac:dyDescent="0.35"/>
    <row r="328" ht="14.5" hidden="1" customHeight="1" x14ac:dyDescent="0.35"/>
    <row r="329" ht="14.5" hidden="1" customHeight="1" x14ac:dyDescent="0.35"/>
    <row r="330" ht="14.5" hidden="1" customHeight="1" x14ac:dyDescent="0.35"/>
    <row r="331" ht="14.5" hidden="1" customHeight="1" x14ac:dyDescent="0.35"/>
    <row r="332" ht="14.5" hidden="1" customHeight="1" x14ac:dyDescent="0.35"/>
    <row r="333" ht="14.5" hidden="1" customHeight="1" x14ac:dyDescent="0.35"/>
    <row r="334" ht="14.5" hidden="1" customHeight="1" x14ac:dyDescent="0.35"/>
    <row r="335" ht="14.5" hidden="1" customHeight="1" x14ac:dyDescent="0.35"/>
    <row r="336" ht="14.5" hidden="1" customHeight="1" x14ac:dyDescent="0.35"/>
    <row r="337" ht="14.5" hidden="1" customHeight="1" x14ac:dyDescent="0.35"/>
    <row r="338" ht="14.5" hidden="1" customHeight="1" x14ac:dyDescent="0.35"/>
    <row r="339" ht="14.5" hidden="1" customHeight="1" x14ac:dyDescent="0.35"/>
    <row r="340" ht="14.5" hidden="1" customHeight="1" x14ac:dyDescent="0.35"/>
    <row r="341" ht="14.5" hidden="1" customHeight="1" x14ac:dyDescent="0.35"/>
    <row r="342" ht="14.5" hidden="1" customHeight="1" x14ac:dyDescent="0.35"/>
    <row r="343" ht="14.5" hidden="1" customHeight="1" x14ac:dyDescent="0.35"/>
    <row r="344" ht="14.5" hidden="1" customHeight="1" x14ac:dyDescent="0.35"/>
    <row r="345" ht="14.5" hidden="1" customHeight="1" x14ac:dyDescent="0.35"/>
    <row r="346" ht="14.5" hidden="1" customHeight="1" x14ac:dyDescent="0.35"/>
    <row r="347" ht="14.5" hidden="1" customHeight="1" x14ac:dyDescent="0.35"/>
    <row r="348" ht="14.5" hidden="1" customHeight="1" x14ac:dyDescent="0.35"/>
    <row r="349" ht="14.5" hidden="1" customHeight="1" x14ac:dyDescent="0.35"/>
    <row r="350" ht="14.5" hidden="1" customHeight="1" x14ac:dyDescent="0.35"/>
    <row r="351" ht="14.5" hidden="1" customHeight="1" x14ac:dyDescent="0.35"/>
    <row r="352" ht="14.5" hidden="1" customHeight="1" x14ac:dyDescent="0.35"/>
    <row r="353" ht="14.5" hidden="1" customHeight="1" x14ac:dyDescent="0.35"/>
    <row r="354" ht="14.5" hidden="1" customHeight="1" x14ac:dyDescent="0.35"/>
    <row r="355" ht="14.5" hidden="1" customHeight="1" x14ac:dyDescent="0.35"/>
    <row r="356" ht="14.5" hidden="1" customHeight="1" x14ac:dyDescent="0.35"/>
    <row r="357" ht="14.5" hidden="1" customHeight="1" x14ac:dyDescent="0.35"/>
    <row r="358" ht="14.5" hidden="1" customHeight="1" x14ac:dyDescent="0.35"/>
    <row r="359" ht="14.5" hidden="1" customHeight="1" x14ac:dyDescent="0.35"/>
    <row r="360" ht="14.5" hidden="1" customHeight="1" x14ac:dyDescent="0.35"/>
    <row r="361" ht="14.5" hidden="1" customHeight="1" x14ac:dyDescent="0.35"/>
    <row r="362" ht="14.5" hidden="1" customHeight="1" x14ac:dyDescent="0.35"/>
    <row r="363" ht="14.5" hidden="1" customHeight="1" x14ac:dyDescent="0.35"/>
    <row r="364" ht="14.5" hidden="1" customHeight="1" x14ac:dyDescent="0.35"/>
    <row r="365" ht="14.5" hidden="1" customHeight="1" x14ac:dyDescent="0.35"/>
    <row r="366" ht="14.5" hidden="1" customHeight="1" x14ac:dyDescent="0.35"/>
    <row r="367" ht="14.5" hidden="1" customHeight="1" x14ac:dyDescent="0.35"/>
    <row r="368" ht="14.5" hidden="1" customHeight="1" x14ac:dyDescent="0.35"/>
    <row r="369" ht="14.5" hidden="1" customHeight="1" x14ac:dyDescent="0.35"/>
    <row r="370" ht="14.5" hidden="1" customHeight="1" x14ac:dyDescent="0.35"/>
    <row r="371" ht="14.5" hidden="1" customHeight="1" x14ac:dyDescent="0.35"/>
    <row r="372" ht="14.5" hidden="1" customHeight="1" x14ac:dyDescent="0.35"/>
    <row r="373" ht="14.5" hidden="1" customHeight="1" x14ac:dyDescent="0.35"/>
    <row r="374" ht="14.5" hidden="1" customHeight="1" x14ac:dyDescent="0.35"/>
    <row r="375" ht="14.5" hidden="1" customHeight="1" x14ac:dyDescent="0.35"/>
    <row r="376" ht="14.5" hidden="1" customHeight="1" x14ac:dyDescent="0.35"/>
    <row r="377" ht="14.5" hidden="1" customHeight="1" x14ac:dyDescent="0.35"/>
    <row r="378" ht="14.5" hidden="1" customHeight="1" x14ac:dyDescent="0.35"/>
    <row r="379" ht="14.5" hidden="1" customHeight="1" x14ac:dyDescent="0.35"/>
    <row r="380" ht="14.5" hidden="1" customHeight="1" x14ac:dyDescent="0.35"/>
    <row r="381" ht="14.5" hidden="1" customHeight="1" x14ac:dyDescent="0.35"/>
    <row r="382" ht="14.5" hidden="1" customHeight="1" x14ac:dyDescent="0.35"/>
    <row r="383" ht="14.5" hidden="1" customHeight="1" x14ac:dyDescent="0.35"/>
    <row r="384" ht="14.5" hidden="1" customHeight="1" x14ac:dyDescent="0.35"/>
    <row r="385" ht="14.5" hidden="1" customHeight="1" x14ac:dyDescent="0.35"/>
    <row r="386" ht="14.5" hidden="1" customHeight="1" x14ac:dyDescent="0.35"/>
  </sheetData>
  <sheetProtection algorithmName="SHA-512" hashValue="A3d1fjSnZcaWFICO4vcXS82yYSrVJL35Ck4W41cPjwVAuJiH87/Hb7HyZx1EFRd7M80iXZG71RsmGbkYrD1fGQ==" saltValue="sRn+XouyhZVXq9AQ2jbErw==" spinCount="100000" sheet="1" objects="1" scenarios="1"/>
  <mergeCells count="89">
    <mergeCell ref="N14:O14"/>
    <mergeCell ref="N16:O16"/>
    <mergeCell ref="D17:F17"/>
    <mergeCell ref="H17:K17"/>
    <mergeCell ref="M17:N17"/>
    <mergeCell ref="G16:I16"/>
    <mergeCell ref="E15:F15"/>
    <mergeCell ref="E16:F16"/>
    <mergeCell ref="J14:K14"/>
    <mergeCell ref="E13:F13"/>
    <mergeCell ref="D5:H5"/>
    <mergeCell ref="J5:N5"/>
    <mergeCell ref="N8:O8"/>
    <mergeCell ref="N9:O9"/>
    <mergeCell ref="N11:O11"/>
    <mergeCell ref="J12:K12"/>
    <mergeCell ref="N12:O12"/>
    <mergeCell ref="N30:O30"/>
    <mergeCell ref="B29:E29"/>
    <mergeCell ref="F29:G29"/>
    <mergeCell ref="J29:K29"/>
    <mergeCell ref="L29:M29"/>
    <mergeCell ref="N29:O29"/>
    <mergeCell ref="L22:M22"/>
    <mergeCell ref="B30:E30"/>
    <mergeCell ref="F30:G30"/>
    <mergeCell ref="J30:K30"/>
    <mergeCell ref="L30:M30"/>
    <mergeCell ref="L27:M27"/>
    <mergeCell ref="B28:E28"/>
    <mergeCell ref="F28:G28"/>
    <mergeCell ref="J28:K28"/>
    <mergeCell ref="L28:M28"/>
    <mergeCell ref="J26:K26"/>
    <mergeCell ref="L23:M23"/>
    <mergeCell ref="L24:M24"/>
    <mergeCell ref="L25:M25"/>
    <mergeCell ref="L26:M26"/>
    <mergeCell ref="B27:E27"/>
    <mergeCell ref="N28:O28"/>
    <mergeCell ref="N27:O27"/>
    <mergeCell ref="F18:G18"/>
    <mergeCell ref="J18:K18"/>
    <mergeCell ref="L18:M18"/>
    <mergeCell ref="N18:O18"/>
    <mergeCell ref="N21:O21"/>
    <mergeCell ref="N22:O22"/>
    <mergeCell ref="N23:O23"/>
    <mergeCell ref="N24:O24"/>
    <mergeCell ref="N25:O25"/>
    <mergeCell ref="N26:O26"/>
    <mergeCell ref="J27:K27"/>
    <mergeCell ref="L19:M19"/>
    <mergeCell ref="L20:M20"/>
    <mergeCell ref="L21:M21"/>
    <mergeCell ref="J21:K21"/>
    <mergeCell ref="J22:K22"/>
    <mergeCell ref="J23:K23"/>
    <mergeCell ref="J24:K24"/>
    <mergeCell ref="J25:K25"/>
    <mergeCell ref="F26:G26"/>
    <mergeCell ref="F27:G27"/>
    <mergeCell ref="B21:E21"/>
    <mergeCell ref="B22:E22"/>
    <mergeCell ref="B23:E23"/>
    <mergeCell ref="B25:E25"/>
    <mergeCell ref="B26:E26"/>
    <mergeCell ref="F24:G24"/>
    <mergeCell ref="F25:G25"/>
    <mergeCell ref="B24:E24"/>
    <mergeCell ref="F21:G21"/>
    <mergeCell ref="F22:G22"/>
    <mergeCell ref="F23:G23"/>
    <mergeCell ref="A2:A3"/>
    <mergeCell ref="B2:J3"/>
    <mergeCell ref="N19:O19"/>
    <mergeCell ref="N20:O20"/>
    <mergeCell ref="J19:K19"/>
    <mergeCell ref="J20:K20"/>
    <mergeCell ref="B18:E18"/>
    <mergeCell ref="E8:F8"/>
    <mergeCell ref="E9:F9"/>
    <mergeCell ref="B19:E19"/>
    <mergeCell ref="B20:E20"/>
    <mergeCell ref="F19:G19"/>
    <mergeCell ref="F20:G20"/>
    <mergeCell ref="E10:F10"/>
    <mergeCell ref="E11:F11"/>
    <mergeCell ref="E12:F12"/>
  </mergeCells>
  <dataValidations count="1">
    <dataValidation type="whole" operator="greaterThanOrEqual" allowBlank="1" showInputMessage="1" showErrorMessage="1" errorTitle="ERROR!!" error="No. of years cannot be more than 50!" sqref="E8 E10" xr:uid="{1FA69E7E-7EB2-42D7-999C-7DE889728600}">
      <formula1>1</formula1>
    </dataValidation>
  </dataValidations>
  <hyperlinks>
    <hyperlink ref="A2:A3" location="'Main Menu'!A1" tooltip="HOME" display="BACK" xr:uid="{D8E3EC36-98F3-41C3-A459-4DFEC46090A6}"/>
  </hyperlinks>
  <printOptions horizontalCentered="1"/>
  <pageMargins left="0.23622047244094491" right="0.23622047244094491" top="0.23622047244094491" bottom="0.23622047244094491" header="0.31496062992125984" footer="0.31496062992125984"/>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E6176-F1D6-4ED2-BD34-EFA22D8E7A33}">
  <dimension ref="A1:W402"/>
  <sheetViews>
    <sheetView showGridLines="0" topLeftCell="A2" zoomScaleNormal="100" workbookViewId="0">
      <selection activeCell="P13" sqref="P13"/>
    </sheetView>
  </sheetViews>
  <sheetFormatPr defaultColWidth="0" defaultRowHeight="15" customHeight="1" zeroHeight="1" x14ac:dyDescent="0.35"/>
  <cols>
    <col min="1" max="6" width="9.1796875" style="6" customWidth="1"/>
    <col min="7" max="7" width="7.54296875" style="6" customWidth="1"/>
    <col min="8" max="8" width="9.1796875" style="6" customWidth="1"/>
    <col min="9" max="9" width="7.453125" style="6" customWidth="1"/>
    <col min="10" max="16" width="9.1796875" style="6" customWidth="1"/>
    <col min="17" max="17" width="8.453125" customWidth="1"/>
    <col min="18" max="18" width="1.453125" style="6" customWidth="1"/>
    <col min="19" max="21" width="9.1796875" style="6" hidden="1" customWidth="1"/>
    <col min="22" max="22" width="20.453125" style="6" hidden="1" customWidth="1"/>
    <col min="23" max="23" width="15" style="6" hidden="1" customWidth="1"/>
    <col min="24" max="16384" width="9.1796875" style="6" hidden="1"/>
  </cols>
  <sheetData>
    <row r="1" spans="1:23" ht="14.5" hidden="1" x14ac:dyDescent="0.35">
      <c r="I1" s="573"/>
      <c r="J1" s="573"/>
      <c r="K1" s="573"/>
      <c r="L1" s="573"/>
      <c r="M1" s="573"/>
      <c r="N1" s="573"/>
      <c r="O1" s="573"/>
      <c r="P1" s="573"/>
    </row>
    <row r="2" spans="1:23" ht="15" customHeight="1" x14ac:dyDescent="0.35">
      <c r="A2" s="289" t="s">
        <v>5</v>
      </c>
      <c r="B2" s="290" t="s">
        <v>389</v>
      </c>
      <c r="C2" s="290"/>
      <c r="D2" s="290"/>
      <c r="E2" s="290"/>
      <c r="F2" s="290"/>
      <c r="G2" s="290"/>
      <c r="H2" s="290"/>
      <c r="I2" s="573"/>
      <c r="J2" s="573"/>
      <c r="K2" s="573"/>
      <c r="L2" s="573"/>
      <c r="M2" s="573"/>
      <c r="N2" s="573"/>
      <c r="O2" s="573"/>
      <c r="P2" s="573"/>
    </row>
    <row r="3" spans="1:23" ht="15" customHeight="1" x14ac:dyDescent="0.35">
      <c r="A3" s="289"/>
      <c r="B3" s="291"/>
      <c r="C3" s="291"/>
      <c r="D3" s="291"/>
      <c r="E3" s="291"/>
      <c r="F3" s="291"/>
      <c r="G3" s="291"/>
      <c r="H3" s="291"/>
      <c r="I3" s="573"/>
      <c r="J3" s="573"/>
      <c r="K3" s="573"/>
      <c r="L3" s="573"/>
      <c r="M3" s="573"/>
      <c r="N3" s="573"/>
      <c r="O3" s="573"/>
      <c r="P3" s="573"/>
    </row>
    <row r="4" spans="1:23" ht="14.5" hidden="1" x14ac:dyDescent="0.35">
      <c r="N4" s="574"/>
      <c r="O4" s="574"/>
    </row>
    <row r="5" spans="1:23" ht="20.149999999999999" customHeight="1" x14ac:dyDescent="0.35">
      <c r="B5" s="218" t="s">
        <v>396</v>
      </c>
    </row>
    <row r="6" spans="1:23" ht="20.149999999999999" customHeight="1" x14ac:dyDescent="0.35">
      <c r="B6" s="7" t="s">
        <v>391</v>
      </c>
      <c r="C6" s="11"/>
      <c r="D6" s="730" t="str">
        <f>'Main Menu'!C29</f>
        <v>Client Name</v>
      </c>
      <c r="E6" s="731"/>
      <c r="F6" s="732"/>
      <c r="G6" s="227" t="s">
        <v>223</v>
      </c>
      <c r="H6" s="213">
        <v>40</v>
      </c>
      <c r="I6" s="715" t="s">
        <v>392</v>
      </c>
      <c r="J6" s="715"/>
      <c r="K6" s="729" t="s">
        <v>408</v>
      </c>
      <c r="L6" s="729"/>
      <c r="M6" s="729"/>
      <c r="N6" s="8" t="s">
        <v>390</v>
      </c>
      <c r="O6" s="221"/>
      <c r="P6" s="222">
        <v>35</v>
      </c>
    </row>
    <row r="7" spans="1:23" ht="20.149999999999999" customHeight="1" x14ac:dyDescent="0.35">
      <c r="B7" s="7" t="s">
        <v>393</v>
      </c>
      <c r="C7" s="221"/>
      <c r="D7" s="729" t="s">
        <v>394</v>
      </c>
      <c r="E7" s="729"/>
      <c r="F7" s="729"/>
      <c r="G7" s="227" t="s">
        <v>223</v>
      </c>
      <c r="H7" s="213">
        <v>7</v>
      </c>
      <c r="I7" s="715" t="s">
        <v>409</v>
      </c>
      <c r="J7" s="715"/>
      <c r="K7" s="729" t="s">
        <v>395</v>
      </c>
      <c r="L7" s="729"/>
      <c r="M7" s="729"/>
      <c r="N7" s="8" t="s">
        <v>410</v>
      </c>
      <c r="O7" s="221"/>
      <c r="P7" s="222">
        <v>5</v>
      </c>
    </row>
    <row r="8" spans="1:23" ht="20.149999999999999" customHeight="1" x14ac:dyDescent="0.35">
      <c r="B8" s="7" t="s">
        <v>412</v>
      </c>
      <c r="C8" s="221"/>
      <c r="D8" s="729"/>
      <c r="E8" s="729"/>
      <c r="F8" s="729"/>
      <c r="G8" s="227" t="s">
        <v>223</v>
      </c>
      <c r="H8" s="213"/>
      <c r="I8" s="143" t="s">
        <v>424</v>
      </c>
      <c r="J8" s="221"/>
      <c r="K8" s="695">
        <v>35000</v>
      </c>
      <c r="L8" s="695"/>
      <c r="M8" s="695"/>
      <c r="N8" s="143" t="s">
        <v>425</v>
      </c>
      <c r="O8" s="11"/>
      <c r="P8" s="229"/>
    </row>
    <row r="9" spans="1:23" ht="20.149999999999999" customHeight="1" x14ac:dyDescent="0.35">
      <c r="B9" s="726" t="str">
        <f>"Basic Financial Plan for " &amp; D6 &amp; " &amp; Family"</f>
        <v>Basic Financial Plan for Client Name &amp; Family</v>
      </c>
      <c r="C9" s="726"/>
      <c r="D9" s="726"/>
      <c r="E9" s="726"/>
      <c r="F9" s="726"/>
      <c r="G9" s="726"/>
      <c r="H9" s="726"/>
      <c r="I9" s="726"/>
      <c r="J9" s="726"/>
      <c r="K9" s="726"/>
      <c r="L9" s="726"/>
      <c r="M9" s="726"/>
      <c r="N9" s="726"/>
      <c r="O9" s="726"/>
      <c r="P9" s="726"/>
    </row>
    <row r="10" spans="1:23" ht="20.149999999999999" customHeight="1" x14ac:dyDescent="0.35">
      <c r="B10" s="727"/>
      <c r="C10" s="727"/>
      <c r="D10" s="727"/>
      <c r="E10" s="727"/>
      <c r="F10" s="727"/>
      <c r="G10" s="727"/>
      <c r="H10" s="727"/>
      <c r="I10" s="727"/>
      <c r="J10" s="727"/>
      <c r="K10" s="727"/>
      <c r="L10" s="727"/>
      <c r="M10" s="727"/>
      <c r="N10" s="727"/>
      <c r="O10" s="727"/>
      <c r="P10" s="727"/>
    </row>
    <row r="11" spans="1:23" ht="20.149999999999999" customHeight="1" x14ac:dyDescent="0.35">
      <c r="B11"/>
      <c r="C11"/>
      <c r="D11"/>
      <c r="E11"/>
      <c r="F11"/>
      <c r="G11"/>
      <c r="H11"/>
      <c r="I11"/>
      <c r="J11"/>
      <c r="K11"/>
      <c r="L11"/>
      <c r="M11"/>
      <c r="N11"/>
      <c r="O11"/>
    </row>
    <row r="12" spans="1:23" ht="20.149999999999999" customHeight="1" x14ac:dyDescent="0.35">
      <c r="B12"/>
      <c r="C12"/>
      <c r="D12"/>
      <c r="E12"/>
      <c r="F12"/>
      <c r="G12"/>
      <c r="H12"/>
      <c r="N12"/>
      <c r="O12"/>
    </row>
    <row r="13" spans="1:23" ht="20.149999999999999" customHeight="1" x14ac:dyDescent="0.35">
      <c r="B13"/>
      <c r="C13"/>
      <c r="D13"/>
      <c r="E13"/>
      <c r="F13"/>
      <c r="G13"/>
      <c r="H13"/>
      <c r="I13"/>
      <c r="J13"/>
      <c r="K13"/>
      <c r="L13"/>
      <c r="M13"/>
      <c r="N13"/>
      <c r="O13"/>
    </row>
    <row r="14" spans="1:23" ht="20.149999999999999" customHeight="1" x14ac:dyDescent="0.35">
      <c r="B14"/>
      <c r="C14"/>
      <c r="D14"/>
      <c r="E14"/>
      <c r="F14"/>
      <c r="G14"/>
      <c r="H14"/>
      <c r="N14"/>
      <c r="O14"/>
      <c r="T14" s="6" t="s">
        <v>443</v>
      </c>
    </row>
    <row r="15" spans="1:23" ht="20.149999999999999" customHeight="1" x14ac:dyDescent="0.35">
      <c r="B15"/>
      <c r="C15"/>
      <c r="D15"/>
      <c r="E15"/>
      <c r="F15"/>
      <c r="G15"/>
      <c r="H15"/>
      <c r="J15" s="223" t="s">
        <v>256</v>
      </c>
      <c r="K15"/>
      <c r="L15" s="724" t="str">
        <f>'Main Menu'!L29</f>
        <v>Partner Name</v>
      </c>
      <c r="M15" s="724"/>
      <c r="N15" s="724"/>
      <c r="O15"/>
      <c r="T15" s="6" t="s">
        <v>445</v>
      </c>
      <c r="U15" s="46">
        <f>K42</f>
        <v>7.0000000000000007E-2</v>
      </c>
    </row>
    <row r="16" spans="1:23" ht="20.149999999999999" customHeight="1" x14ac:dyDescent="0.35">
      <c r="B16"/>
      <c r="C16"/>
      <c r="D16"/>
      <c r="E16"/>
      <c r="F16"/>
      <c r="G16"/>
      <c r="H16"/>
      <c r="I16"/>
      <c r="J16" s="223" t="s">
        <v>413</v>
      </c>
      <c r="K16"/>
      <c r="L16" s="725">
        <f ca="1">TODAY()</f>
        <v>45897</v>
      </c>
      <c r="M16" s="725"/>
      <c r="N16" s="725"/>
      <c r="O16"/>
      <c r="T16" s="6" t="s">
        <v>446</v>
      </c>
      <c r="W16" s="46">
        <f>Q41</f>
        <v>0.1</v>
      </c>
    </row>
    <row r="17" spans="2:23" ht="20.149999999999999" customHeight="1" x14ac:dyDescent="0.35">
      <c r="B17"/>
      <c r="C17"/>
      <c r="D17"/>
      <c r="E17"/>
      <c r="F17"/>
      <c r="G17"/>
      <c r="H17"/>
      <c r="I17"/>
      <c r="J17"/>
      <c r="K17"/>
      <c r="L17"/>
      <c r="M17"/>
      <c r="N17"/>
      <c r="O17"/>
      <c r="T17" s="6" t="s">
        <v>447</v>
      </c>
      <c r="V17" s="6">
        <f>E42</f>
        <v>85</v>
      </c>
    </row>
    <row r="18" spans="2:23" ht="20.149999999999999" customHeight="1" x14ac:dyDescent="0.35">
      <c r="B18"/>
      <c r="C18"/>
      <c r="D18"/>
      <c r="E18"/>
      <c r="F18"/>
      <c r="G18"/>
      <c r="H18"/>
      <c r="I18"/>
      <c r="J18"/>
      <c r="K18"/>
      <c r="L18"/>
      <c r="M18"/>
      <c r="N18"/>
      <c r="O18"/>
      <c r="T18" s="6" t="s">
        <v>202</v>
      </c>
      <c r="V18" s="46">
        <f>((1+W16)/(1+U15))-1</f>
        <v>2.8037383177570208E-2</v>
      </c>
    </row>
    <row r="19" spans="2:23" ht="20.149999999999999" customHeight="1" x14ac:dyDescent="0.35">
      <c r="B19" s="218" t="s">
        <v>397</v>
      </c>
      <c r="C19"/>
      <c r="D19"/>
      <c r="E19"/>
      <c r="F19"/>
      <c r="G19"/>
      <c r="H19"/>
      <c r="I19"/>
      <c r="J19"/>
      <c r="K19"/>
      <c r="L19"/>
      <c r="M19"/>
      <c r="N19"/>
      <c r="O19"/>
      <c r="T19" s="6" t="s">
        <v>448</v>
      </c>
      <c r="W19" s="78">
        <f>-PV(V18,V17-P6,K8*12,,1)</f>
        <v>11535659.850463828</v>
      </c>
    </row>
    <row r="20" spans="2:23" s="9" customFormat="1" ht="20.149999999999999" customHeight="1" x14ac:dyDescent="0.35">
      <c r="B20" s="733" t="s">
        <v>399</v>
      </c>
      <c r="C20" s="734"/>
      <c r="D20" s="734"/>
      <c r="E20" s="734"/>
      <c r="F20" s="734"/>
      <c r="G20" s="734"/>
      <c r="H20" s="734"/>
      <c r="I20" s="734"/>
      <c r="J20" s="734"/>
      <c r="K20" s="734"/>
      <c r="L20" s="734"/>
      <c r="M20" s="734"/>
      <c r="N20" s="734"/>
      <c r="O20" s="734"/>
      <c r="P20" s="735"/>
      <c r="Q20"/>
    </row>
    <row r="21" spans="2:23" s="9" customFormat="1" ht="20.149999999999999" customHeight="1" x14ac:dyDescent="0.35">
      <c r="B21" s="738"/>
      <c r="C21" s="739"/>
      <c r="D21" s="739"/>
      <c r="E21" s="739"/>
      <c r="F21" s="739"/>
      <c r="G21" s="739"/>
      <c r="H21" s="739"/>
      <c r="I21" s="739"/>
      <c r="J21" s="739"/>
      <c r="K21" s="739"/>
      <c r="L21" s="739"/>
      <c r="M21" s="739"/>
      <c r="N21" s="739"/>
      <c r="O21" s="739"/>
      <c r="P21" s="740"/>
      <c r="Q21"/>
    </row>
    <row r="22" spans="2:23" s="9" customFormat="1" ht="8.15" customHeight="1" x14ac:dyDescent="0.35">
      <c r="B22"/>
      <c r="C22"/>
      <c r="D22"/>
      <c r="E22"/>
      <c r="F22"/>
      <c r="G22"/>
      <c r="H22"/>
      <c r="I22"/>
      <c r="J22"/>
      <c r="K22"/>
      <c r="L22"/>
      <c r="M22"/>
      <c r="N22"/>
      <c r="O22"/>
      <c r="Q22"/>
    </row>
    <row r="23" spans="2:23" s="9" customFormat="1" ht="20.149999999999999" customHeight="1" x14ac:dyDescent="0.35">
      <c r="B23" s="218" t="s">
        <v>398</v>
      </c>
      <c r="C23"/>
      <c r="D23"/>
      <c r="E23"/>
      <c r="F23"/>
      <c r="G23"/>
      <c r="H23"/>
      <c r="I23"/>
      <c r="J23"/>
      <c r="K23"/>
      <c r="L23"/>
      <c r="M23"/>
      <c r="N23"/>
      <c r="O23"/>
      <c r="Q23"/>
    </row>
    <row r="24" spans="2:23" s="9" customFormat="1" ht="20.149999999999999" customHeight="1" x14ac:dyDescent="0.35">
      <c r="B24" s="733" t="s">
        <v>400</v>
      </c>
      <c r="C24" s="734"/>
      <c r="D24" s="734"/>
      <c r="E24" s="734"/>
      <c r="F24" s="734"/>
      <c r="G24" s="734"/>
      <c r="H24" s="734"/>
      <c r="I24" s="734"/>
      <c r="J24" s="734"/>
      <c r="K24" s="734"/>
      <c r="L24" s="734"/>
      <c r="M24" s="734"/>
      <c r="N24" s="734"/>
      <c r="O24" s="734"/>
      <c r="P24" s="735"/>
      <c r="Q24"/>
    </row>
    <row r="25" spans="2:23" s="9" customFormat="1" ht="20.149999999999999" customHeight="1" x14ac:dyDescent="0.35">
      <c r="B25" s="219" t="s">
        <v>404</v>
      </c>
      <c r="C25" s="220"/>
      <c r="D25" s="220"/>
      <c r="E25" s="736">
        <v>1000000</v>
      </c>
      <c r="F25" s="736"/>
      <c r="G25" s="714" t="s">
        <v>403</v>
      </c>
      <c r="H25" s="714"/>
      <c r="I25" s="714"/>
      <c r="J25" s="737">
        <v>0</v>
      </c>
      <c r="K25" s="737"/>
      <c r="L25" s="714" t="s">
        <v>406</v>
      </c>
      <c r="M25" s="714"/>
      <c r="N25" s="714"/>
      <c r="O25" s="712">
        <f>E25-J25</f>
        <v>1000000</v>
      </c>
      <c r="P25" s="713"/>
      <c r="Q25"/>
    </row>
    <row r="26" spans="2:23" s="9" customFormat="1" ht="8.15" customHeight="1" x14ac:dyDescent="0.35">
      <c r="B26"/>
      <c r="C26"/>
      <c r="D26"/>
      <c r="E26"/>
      <c r="F26"/>
      <c r="G26"/>
      <c r="H26"/>
      <c r="I26"/>
      <c r="J26"/>
      <c r="K26"/>
      <c r="L26"/>
      <c r="M26"/>
      <c r="N26"/>
      <c r="O26"/>
      <c r="Q26"/>
    </row>
    <row r="27" spans="2:23" s="9" customFormat="1" ht="20.149999999999999" customHeight="1" x14ac:dyDescent="0.35">
      <c r="B27" s="218" t="s">
        <v>444</v>
      </c>
      <c r="C27"/>
      <c r="D27"/>
      <c r="E27"/>
      <c r="F27"/>
      <c r="G27"/>
      <c r="H27" s="251"/>
      <c r="I27"/>
      <c r="J27"/>
      <c r="K27"/>
      <c r="L27"/>
      <c r="M27"/>
      <c r="N27"/>
      <c r="O27"/>
      <c r="Q27"/>
    </row>
    <row r="28" spans="2:23" s="9" customFormat="1" ht="20.149999999999999" customHeight="1" x14ac:dyDescent="0.35">
      <c r="B28" s="733" t="s">
        <v>401</v>
      </c>
      <c r="C28" s="734"/>
      <c r="D28" s="734"/>
      <c r="E28" s="734"/>
      <c r="F28" s="734"/>
      <c r="G28" s="734"/>
      <c r="H28" s="734"/>
      <c r="I28" s="734"/>
      <c r="J28" s="734"/>
      <c r="K28" s="734"/>
      <c r="L28" s="734"/>
      <c r="M28" s="734"/>
      <c r="N28" s="734"/>
      <c r="O28" s="734"/>
      <c r="P28" s="735"/>
      <c r="Q28"/>
    </row>
    <row r="29" spans="2:23" s="9" customFormat="1" ht="20.149999999999999" customHeight="1" x14ac:dyDescent="0.35">
      <c r="B29" s="219" t="s">
        <v>405</v>
      </c>
      <c r="C29" s="219"/>
      <c r="D29" s="220"/>
      <c r="E29" s="712">
        <f>W19</f>
        <v>11535659.850463828</v>
      </c>
      <c r="F29" s="713"/>
      <c r="G29" s="714" t="s">
        <v>402</v>
      </c>
      <c r="H29" s="714"/>
      <c r="I29" s="714"/>
      <c r="J29" s="737">
        <v>0</v>
      </c>
      <c r="K29" s="737"/>
      <c r="L29" s="714" t="s">
        <v>407</v>
      </c>
      <c r="M29" s="714"/>
      <c r="N29" s="714"/>
      <c r="O29" s="712">
        <f>E29-J29</f>
        <v>11535659.850463828</v>
      </c>
      <c r="P29" s="713"/>
      <c r="Q29"/>
    </row>
    <row r="30" spans="2:23" s="9" customFormat="1" ht="8.15" customHeight="1" x14ac:dyDescent="0.35">
      <c r="B30"/>
      <c r="C30"/>
      <c r="D30"/>
      <c r="E30"/>
      <c r="F30"/>
      <c r="G30"/>
      <c r="H30"/>
      <c r="I30"/>
      <c r="J30"/>
      <c r="K30"/>
      <c r="L30"/>
      <c r="M30"/>
      <c r="N30"/>
      <c r="O30"/>
      <c r="Q30"/>
    </row>
    <row r="31" spans="2:23" s="9" customFormat="1" ht="20.149999999999999" customHeight="1" x14ac:dyDescent="0.35">
      <c r="B31" s="218" t="s">
        <v>414</v>
      </c>
      <c r="C31"/>
      <c r="D31"/>
      <c r="E31" s="701" t="s">
        <v>419</v>
      </c>
      <c r="F31" s="653"/>
      <c r="G31" s="653"/>
      <c r="H31" s="653"/>
      <c r="I31" s="653"/>
      <c r="J31" s="653"/>
      <c r="K31" s="653"/>
      <c r="L31" s="699">
        <f>SUM(H33:I37,P33:Q37)</f>
        <v>129582.02483783191</v>
      </c>
      <c r="M31" s="700"/>
      <c r="N31"/>
      <c r="O31"/>
      <c r="Q31"/>
    </row>
    <row r="32" spans="2:23" s="9" customFormat="1" ht="20.149999999999999" customHeight="1" x14ac:dyDescent="0.35">
      <c r="B32" s="710" t="s">
        <v>417</v>
      </c>
      <c r="C32" s="693"/>
      <c r="D32" s="693"/>
      <c r="E32" s="711"/>
      <c r="F32" s="716" t="s">
        <v>341</v>
      </c>
      <c r="G32" s="718"/>
      <c r="H32" s="716" t="s">
        <v>416</v>
      </c>
      <c r="I32" s="717"/>
      <c r="J32" s="716" t="s">
        <v>417</v>
      </c>
      <c r="K32" s="717"/>
      <c r="L32" s="717"/>
      <c r="M32" s="718"/>
      <c r="N32" s="692" t="s">
        <v>341</v>
      </c>
      <c r="O32" s="711"/>
      <c r="P32" s="692" t="s">
        <v>416</v>
      </c>
      <c r="Q32" s="693"/>
    </row>
    <row r="33" spans="2:20" s="9" customFormat="1" ht="24" customHeight="1" x14ac:dyDescent="0.35">
      <c r="B33" s="704" t="s">
        <v>418</v>
      </c>
      <c r="C33" s="705"/>
      <c r="D33" s="705"/>
      <c r="E33" s="706"/>
      <c r="F33" s="721">
        <f>O57</f>
        <v>46076363.793187723</v>
      </c>
      <c r="G33" s="706"/>
      <c r="H33" s="721">
        <f>O61</f>
        <v>50090.770601592507</v>
      </c>
      <c r="I33" s="706"/>
      <c r="J33" s="702" t="str">
        <f>K7&amp;"'s Post-Graduation Expenses"</f>
        <v>Sneha's Post-Graduation Expenses</v>
      </c>
      <c r="K33" s="702"/>
      <c r="L33" s="702"/>
      <c r="M33" s="702"/>
      <c r="N33" s="666">
        <f>SUMIFS(L132:L147,W132:W147,"Post Graduation")</f>
        <v>3700018.0548008638</v>
      </c>
      <c r="O33" s="666"/>
      <c r="P33" s="666">
        <f>SUMIFS(P132:P147,W132:W147,"Post Graduation")</f>
        <v>5985.0767909883589</v>
      </c>
      <c r="Q33" s="666"/>
    </row>
    <row r="34" spans="2:20" ht="24" customHeight="1" x14ac:dyDescent="0.35">
      <c r="B34" s="707" t="str">
        <f>D7&amp;"'s Upto Graduation Expenses"</f>
        <v>Sahil's Upto Graduation Expenses</v>
      </c>
      <c r="C34" s="708"/>
      <c r="D34" s="708"/>
      <c r="E34" s="709"/>
      <c r="F34" s="722">
        <f>SUMIFS(L103:L118,W103:W118,"Upto Graduation")</f>
        <v>3701327.3526632041</v>
      </c>
      <c r="G34" s="723"/>
      <c r="H34" s="722">
        <f>SUMIFS(P103:P118,W103:W118,"Upto Graduation")</f>
        <v>16655.174357616255</v>
      </c>
      <c r="I34" s="723"/>
      <c r="J34" s="703" t="str">
        <f>K7&amp;"'s Marriage Expenses"</f>
        <v>Sneha's Marriage Expenses</v>
      </c>
      <c r="K34" s="703"/>
      <c r="L34" s="703"/>
      <c r="M34" s="703"/>
      <c r="N34" s="667">
        <f>SUMIFS(L132:L147,W132:W147,"Marriage")</f>
        <v>7550750.5730358772</v>
      </c>
      <c r="O34" s="667"/>
      <c r="P34" s="667">
        <f>SUMIFS(P132:P147,W132:W147,"Marriage")</f>
        <v>7308.1005290435105</v>
      </c>
      <c r="Q34" s="667"/>
    </row>
    <row r="35" spans="2:20" ht="24" customHeight="1" x14ac:dyDescent="0.35">
      <c r="B35" s="704" t="str">
        <f>D7&amp;"'s Post-Graduation Expenses"</f>
        <v>Sahil's Post-Graduation Expenses</v>
      </c>
      <c r="C35" s="705"/>
      <c r="D35" s="705"/>
      <c r="E35" s="706"/>
      <c r="F35" s="719">
        <f>SUMIFS(L103:L118,W103:W118,"Post Graduation")</f>
        <v>3172169.1141982717</v>
      </c>
      <c r="G35" s="720"/>
      <c r="H35" s="719">
        <f>SUMIFS(P103:P118,W103:W118,"Post Graduation")</f>
        <v>6728.425935356232</v>
      </c>
      <c r="I35" s="720"/>
      <c r="J35" s="704" t="str">
        <f>D8&amp;"'s Upto Graduation Expenses"</f>
        <v>'s Upto Graduation Expenses</v>
      </c>
      <c r="K35" s="705"/>
      <c r="L35" s="705"/>
      <c r="M35" s="706"/>
      <c r="N35" s="666">
        <f>SUMIFS(L161:L176,W161:W176,"Upto Graduation")</f>
        <v>6343424.6436916543</v>
      </c>
      <c r="O35" s="666"/>
      <c r="P35" s="666">
        <f>SUMIFS(P161:P176,W161:W176,"Upto Graduation")</f>
        <v>10181.671022700168</v>
      </c>
      <c r="Q35" s="666"/>
    </row>
    <row r="36" spans="2:20" ht="24" customHeight="1" x14ac:dyDescent="0.35">
      <c r="B36" s="707" t="str">
        <f>D7&amp;"'s Marriage Expenses"</f>
        <v>Sahil's Marriage Expenses</v>
      </c>
      <c r="C36" s="708"/>
      <c r="D36" s="708"/>
      <c r="E36" s="709"/>
      <c r="F36" s="722">
        <f>SUMIFS(L103:L118,W103:W118,"Marriage")</f>
        <v>6473551.5886795931</v>
      </c>
      <c r="G36" s="723"/>
      <c r="H36" s="722">
        <f>SUMIFS(P103:P118,W103:W118,"Marriage")</f>
        <v>8068.8445368764833</v>
      </c>
      <c r="I36" s="723"/>
      <c r="J36" s="707" t="str">
        <f>D8&amp;"'s Post-Graduation Expenses"</f>
        <v>'s Post-Graduation Expenses</v>
      </c>
      <c r="K36" s="708"/>
      <c r="L36" s="708"/>
      <c r="M36" s="709"/>
      <c r="N36" s="667">
        <f>SUMIFS(L161:L176,W161:W176,"Post Graduation")</f>
        <v>5436540.4125858322</v>
      </c>
      <c r="O36" s="667"/>
      <c r="P36" s="667">
        <f>SUMIFS(P161:P176,W161:W176,"Post Graduation")</f>
        <v>4647.2761566409154</v>
      </c>
      <c r="Q36" s="667"/>
    </row>
    <row r="37" spans="2:20" ht="24" customHeight="1" x14ac:dyDescent="0.35">
      <c r="B37" s="704" t="str">
        <f>K7&amp;"'s Upto Graduation Expenses"</f>
        <v>Sneha's Upto Graduation Expenses</v>
      </c>
      <c r="C37" s="705"/>
      <c r="D37" s="705"/>
      <c r="E37" s="706"/>
      <c r="F37" s="719">
        <f>SUMIFS(L132:L147,W132:W147,"Upto Graduation")</f>
        <v>4317228.2241463615</v>
      </c>
      <c r="G37" s="720"/>
      <c r="H37" s="719">
        <f>SUMIFS(P132:P147,W132:W147,"Upto Graduation")</f>
        <v>14081.137501330377</v>
      </c>
      <c r="I37" s="720"/>
      <c r="J37" s="704" t="str">
        <f>D8&amp;"'s Marriage Expenses"</f>
        <v>'s Marriage Expenses</v>
      </c>
      <c r="K37" s="705"/>
      <c r="L37" s="705"/>
      <c r="M37" s="706"/>
      <c r="N37" s="666">
        <f>SUMIFS(L161:L176,W161:W176,"Marriage")</f>
        <v>11094529.817875305</v>
      </c>
      <c r="O37" s="666"/>
      <c r="P37" s="666">
        <f>SUMIFS(P161:P176,W161:W176,"Marriage")</f>
        <v>5835.5474056870917</v>
      </c>
      <c r="Q37" s="666"/>
    </row>
    <row r="38" spans="2:20" ht="20.149999999999999" customHeight="1" x14ac:dyDescent="0.35">
      <c r="B38" s="661" t="s">
        <v>430</v>
      </c>
      <c r="C38" s="661"/>
      <c r="D38" s="661"/>
      <c r="E38" s="661"/>
      <c r="F38" s="661"/>
      <c r="G38" s="661"/>
      <c r="H38" s="661"/>
      <c r="I38" s="661"/>
      <c r="J38" s="661"/>
      <c r="K38"/>
      <c r="L38"/>
      <c r="M38"/>
      <c r="N38"/>
      <c r="O38"/>
    </row>
    <row r="39" spans="2:20" ht="20.149999999999999" customHeight="1" x14ac:dyDescent="0.35">
      <c r="B39" s="296"/>
      <c r="C39" s="296"/>
      <c r="D39" s="296"/>
      <c r="E39" s="296"/>
      <c r="F39" s="296"/>
      <c r="G39" s="296"/>
      <c r="H39" s="296"/>
      <c r="I39" s="296"/>
      <c r="J39" s="296"/>
      <c r="K39"/>
      <c r="L39"/>
      <c r="M39"/>
      <c r="N39"/>
      <c r="O39"/>
    </row>
    <row r="40" spans="2:20" ht="20.149999999999999" customHeight="1" x14ac:dyDescent="0.35">
      <c r="B40" s="219" t="s">
        <v>420</v>
      </c>
      <c r="C40" s="221"/>
      <c r="D40" s="11"/>
      <c r="E40" s="257">
        <v>40</v>
      </c>
      <c r="F40" s="228" t="s">
        <v>426</v>
      </c>
      <c r="G40" s="221"/>
      <c r="H40" s="221"/>
      <c r="I40" s="221"/>
      <c r="J40" s="221"/>
      <c r="K40" s="696">
        <f>K8</f>
        <v>35000</v>
      </c>
      <c r="L40" s="697"/>
      <c r="M40" s="230" t="s">
        <v>428</v>
      </c>
      <c r="N40" s="219"/>
      <c r="O40" s="219"/>
      <c r="P40" s="219"/>
      <c r="Q40" s="258">
        <v>0.12</v>
      </c>
      <c r="T40" s="77"/>
    </row>
    <row r="41" spans="2:20" ht="20.149999999999999" customHeight="1" x14ac:dyDescent="0.35">
      <c r="B41" s="219" t="s">
        <v>421</v>
      </c>
      <c r="C41" s="221"/>
      <c r="D41" s="11"/>
      <c r="E41" s="257">
        <v>60</v>
      </c>
      <c r="F41" s="228" t="s">
        <v>427</v>
      </c>
      <c r="G41" s="11"/>
      <c r="H41" s="221"/>
      <c r="I41" s="221"/>
      <c r="J41" s="221"/>
      <c r="K41" s="336">
        <v>0.312</v>
      </c>
      <c r="L41" s="698"/>
      <c r="M41" s="230" t="s">
        <v>429</v>
      </c>
      <c r="N41" s="219"/>
      <c r="O41" s="219"/>
      <c r="P41" s="219"/>
      <c r="Q41" s="258">
        <v>0.1</v>
      </c>
    </row>
    <row r="42" spans="2:20" ht="20.149999999999999" customHeight="1" x14ac:dyDescent="0.35">
      <c r="B42" s="219" t="s">
        <v>422</v>
      </c>
      <c r="C42" s="221"/>
      <c r="D42" s="11"/>
      <c r="E42" s="257">
        <v>85</v>
      </c>
      <c r="F42" s="228" t="s">
        <v>423</v>
      </c>
      <c r="G42" s="221"/>
      <c r="H42" s="221"/>
      <c r="I42" s="221"/>
      <c r="J42" s="221"/>
      <c r="K42" s="336">
        <v>7.0000000000000007E-2</v>
      </c>
      <c r="L42" s="336"/>
      <c r="M42" s="694"/>
      <c r="N42" s="694"/>
      <c r="O42" s="694"/>
      <c r="P42" s="694"/>
      <c r="Q42" s="231"/>
    </row>
    <row r="43" spans="2:20" ht="20.149999999999999" customHeight="1" x14ac:dyDescent="0.35">
      <c r="B43"/>
      <c r="C43"/>
      <c r="D43"/>
      <c r="E43"/>
      <c r="F43"/>
      <c r="G43"/>
      <c r="H43"/>
      <c r="I43"/>
      <c r="J43"/>
      <c r="K43"/>
      <c r="L43"/>
      <c r="M43"/>
      <c r="N43"/>
      <c r="O43"/>
    </row>
    <row r="44" spans="2:20" ht="20.149999999999999" customHeight="1" x14ac:dyDescent="0.35">
      <c r="B44"/>
      <c r="C44"/>
      <c r="D44"/>
      <c r="E44"/>
      <c r="F44"/>
      <c r="G44"/>
      <c r="H44"/>
      <c r="I44"/>
      <c r="J44" s="218" t="s">
        <v>436</v>
      </c>
      <c r="K44"/>
      <c r="L44"/>
      <c r="M44"/>
      <c r="N44"/>
      <c r="O44"/>
    </row>
    <row r="45" spans="2:20" ht="20.149999999999999" customHeight="1" x14ac:dyDescent="0.35">
      <c r="B45"/>
      <c r="C45"/>
      <c r="D45"/>
      <c r="E45"/>
      <c r="F45"/>
      <c r="G45"/>
      <c r="I45"/>
      <c r="J45" s="242" t="s">
        <v>431</v>
      </c>
      <c r="K45" s="243"/>
      <c r="L45" s="243"/>
      <c r="M45" s="243"/>
      <c r="N45" s="244"/>
      <c r="O45" s="673">
        <f>E41-E40</f>
        <v>20</v>
      </c>
      <c r="P45" s="673"/>
      <c r="Q45" s="673"/>
    </row>
    <row r="46" spans="2:20" ht="20.149999999999999" customHeight="1" x14ac:dyDescent="0.35">
      <c r="B46"/>
      <c r="C46"/>
      <c r="D46"/>
      <c r="E46"/>
      <c r="F46"/>
      <c r="G46"/>
      <c r="H46"/>
      <c r="I46"/>
      <c r="J46" s="245" t="s">
        <v>432</v>
      </c>
      <c r="K46" s="238"/>
      <c r="L46" s="238"/>
      <c r="M46" s="238"/>
      <c r="N46" s="239"/>
      <c r="O46" s="674">
        <f>E42-E41</f>
        <v>25</v>
      </c>
      <c r="P46" s="674"/>
      <c r="Q46" s="674"/>
    </row>
    <row r="47" spans="2:20" ht="20.149999999999999" customHeight="1" x14ac:dyDescent="0.35">
      <c r="B47"/>
      <c r="C47"/>
      <c r="D47"/>
      <c r="E47"/>
      <c r="F47"/>
      <c r="G47"/>
      <c r="H47"/>
      <c r="I47"/>
      <c r="J47" s="245" t="s">
        <v>433</v>
      </c>
      <c r="K47" s="238"/>
      <c r="L47" s="238"/>
      <c r="M47" s="238"/>
      <c r="N47" s="239"/>
      <c r="O47" s="674">
        <f>FV(K42,O45,,-K40*12)/12</f>
        <v>135438.95618701627</v>
      </c>
      <c r="P47" s="674"/>
      <c r="Q47" s="674"/>
    </row>
    <row r="48" spans="2:20" ht="20.149999999999999" customHeight="1" x14ac:dyDescent="0.35">
      <c r="B48"/>
      <c r="C48"/>
      <c r="D48"/>
      <c r="E48"/>
      <c r="F48"/>
      <c r="G48"/>
      <c r="H48"/>
      <c r="I48"/>
      <c r="J48" s="245" t="s">
        <v>434</v>
      </c>
      <c r="K48" s="238"/>
      <c r="L48" s="238"/>
      <c r="M48" s="238"/>
      <c r="N48" s="239"/>
      <c r="O48" s="674">
        <f>FV(K42,O45,,-K40*12)</f>
        <v>1625267.4742441953</v>
      </c>
      <c r="P48" s="674"/>
      <c r="Q48" s="674"/>
    </row>
    <row r="49" spans="2:22" ht="20.149999999999999" customHeight="1" x14ac:dyDescent="0.35">
      <c r="B49"/>
      <c r="C49"/>
      <c r="D49"/>
      <c r="E49"/>
      <c r="F49"/>
      <c r="G49"/>
      <c r="H49"/>
      <c r="I49"/>
      <c r="J49" s="246" t="s">
        <v>434</v>
      </c>
      <c r="K49" s="240"/>
      <c r="L49" s="240"/>
      <c r="M49" s="240"/>
      <c r="N49" s="241"/>
      <c r="O49" s="755">
        <f>O48/(1-K41)</f>
        <v>2362307.3753549349</v>
      </c>
      <c r="P49" s="756"/>
      <c r="Q49" s="756"/>
    </row>
    <row r="50" spans="2:22" ht="20.149999999999999" customHeight="1" x14ac:dyDescent="0.35">
      <c r="B50"/>
      <c r="C50"/>
      <c r="D50"/>
      <c r="E50"/>
      <c r="F50"/>
      <c r="G50"/>
      <c r="H50"/>
      <c r="I50"/>
      <c r="J50" s="247" t="s">
        <v>435</v>
      </c>
      <c r="K50" s="248"/>
      <c r="L50" s="248"/>
      <c r="M50" s="248"/>
      <c r="N50" s="249"/>
      <c r="O50" s="757"/>
      <c r="P50" s="758"/>
      <c r="Q50" s="758"/>
    </row>
    <row r="51" spans="2:22" ht="20.149999999999999" customHeight="1" x14ac:dyDescent="0.35">
      <c r="B51"/>
      <c r="C51"/>
      <c r="D51"/>
      <c r="E51"/>
      <c r="F51"/>
      <c r="G51"/>
      <c r="H51"/>
      <c r="I51"/>
      <c r="J51"/>
      <c r="K51"/>
      <c r="L51"/>
      <c r="M51"/>
      <c r="N51"/>
      <c r="O51"/>
    </row>
    <row r="52" spans="2:22" ht="20.149999999999999" customHeight="1" x14ac:dyDescent="0.35">
      <c r="B52"/>
      <c r="C52"/>
      <c r="D52"/>
      <c r="E52"/>
      <c r="F52"/>
      <c r="G52"/>
      <c r="H52"/>
      <c r="I52"/>
      <c r="J52" s="675" t="str">
        <f>UPPER("Retirement corpus required")</f>
        <v>RETIREMENT CORPUS REQUIRED</v>
      </c>
      <c r="K52" s="676"/>
      <c r="L52" s="676"/>
      <c r="M52" s="676"/>
      <c r="N52" s="677"/>
      <c r="O52" s="681">
        <f t="shared" ref="O52" si="0">-PV(V52,O46,O49,,1)</f>
        <v>43228386.750156246</v>
      </c>
      <c r="P52" s="681"/>
      <c r="Q52" s="681"/>
      <c r="T52" s="6" t="s">
        <v>202</v>
      </c>
      <c r="V52" s="46">
        <f>((1+Q41)/(1+K42))-1</f>
        <v>2.8037383177570208E-2</v>
      </c>
    </row>
    <row r="53" spans="2:22" ht="20.149999999999999" customHeight="1" x14ac:dyDescent="0.35">
      <c r="B53"/>
      <c r="C53"/>
      <c r="D53"/>
      <c r="E53"/>
      <c r="F53"/>
      <c r="G53"/>
      <c r="H53"/>
      <c r="I53"/>
      <c r="J53" s="678"/>
      <c r="K53" s="679"/>
      <c r="L53" s="679"/>
      <c r="M53" s="679"/>
      <c r="N53" s="680"/>
      <c r="O53" s="682"/>
      <c r="P53" s="682"/>
      <c r="Q53" s="682"/>
      <c r="T53" s="6" t="s">
        <v>22</v>
      </c>
      <c r="U53" s="6" t="s">
        <v>10</v>
      </c>
      <c r="V53" s="6" t="s">
        <v>449</v>
      </c>
    </row>
    <row r="54" spans="2:22" ht="20.149999999999999" customHeight="1" x14ac:dyDescent="0.35">
      <c r="B54"/>
      <c r="C54"/>
      <c r="D54"/>
      <c r="E54"/>
      <c r="F54"/>
      <c r="G54"/>
      <c r="H54"/>
      <c r="I54"/>
      <c r="J54" s="686" t="str">
        <f>UPPER("Fund you must set aside at retirement age to get your capital back")</f>
        <v>FUND YOU MUST SET ASIDE AT RETIREMENT AGE TO GET YOUR CAPITAL BACK</v>
      </c>
      <c r="K54" s="687"/>
      <c r="L54" s="687"/>
      <c r="M54" s="687"/>
      <c r="N54" s="688"/>
      <c r="O54" s="681">
        <f>-PV(Q40,O46-1,,O52)</f>
        <v>2847977.0430314792</v>
      </c>
      <c r="P54" s="681"/>
      <c r="Q54" s="681"/>
      <c r="T54" s="225">
        <v>1</v>
      </c>
      <c r="U54" s="6">
        <v>100</v>
      </c>
      <c r="V54" s="47">
        <f>FV((1+$Q$40)^(1/12)-1,12,-U54,,1)</f>
        <v>1276.6497908353235</v>
      </c>
    </row>
    <row r="55" spans="2:22" ht="20.149999999999999" customHeight="1" x14ac:dyDescent="0.35">
      <c r="B55"/>
      <c r="C55"/>
      <c r="D55"/>
      <c r="E55"/>
      <c r="F55"/>
      <c r="G55"/>
      <c r="H55"/>
      <c r="I55"/>
      <c r="J55" s="689"/>
      <c r="K55" s="690"/>
      <c r="L55" s="690"/>
      <c r="M55" s="690"/>
      <c r="N55" s="691"/>
      <c r="O55" s="681"/>
      <c r="P55" s="681"/>
      <c r="Q55" s="681"/>
      <c r="T55" s="225">
        <v>2</v>
      </c>
      <c r="U55" s="252">
        <f>U54*(1+10%)</f>
        <v>110.00000000000001</v>
      </c>
      <c r="V55" s="47">
        <f>FV((1+$Q$40)^(1/12)-1,12,-U55,-V54,1)</f>
        <v>2834.1625356544205</v>
      </c>
    </row>
    <row r="56" spans="2:22" ht="20.149999999999999" customHeight="1" x14ac:dyDescent="0.35">
      <c r="B56"/>
      <c r="C56"/>
      <c r="D56"/>
      <c r="E56"/>
      <c r="F56"/>
      <c r="G56"/>
      <c r="H56"/>
      <c r="I56"/>
      <c r="K56"/>
      <c r="L56"/>
      <c r="M56"/>
      <c r="N56"/>
      <c r="O56"/>
      <c r="T56" s="225">
        <v>3</v>
      </c>
      <c r="U56" s="252">
        <f t="shared" ref="U56:U103" si="1">U55*(1+10%)</f>
        <v>121.00000000000003</v>
      </c>
      <c r="V56" s="47">
        <f t="shared" ref="V56:V103" si="2">FV((1+$Q$40)^(1/12)-1,12,-U56,-V55,1)</f>
        <v>4719.0082868436966</v>
      </c>
    </row>
    <row r="57" spans="2:22" ht="20.149999999999999" customHeight="1" x14ac:dyDescent="0.35">
      <c r="B57"/>
      <c r="C57"/>
      <c r="D57"/>
      <c r="E57"/>
      <c r="F57"/>
      <c r="G57"/>
      <c r="H57"/>
      <c r="I57"/>
      <c r="J57" s="140" t="str">
        <f>UPPER("Total retirement corpus required")</f>
        <v>TOTAL RETIREMENT CORPUS REQUIRED</v>
      </c>
      <c r="K57" s="234"/>
      <c r="L57" s="234"/>
      <c r="M57" s="234"/>
      <c r="N57" s="235"/>
      <c r="O57" s="683">
        <f>O52+O54</f>
        <v>46076363.793187723</v>
      </c>
      <c r="P57" s="684"/>
      <c r="Q57" s="684"/>
      <c r="T57" s="225">
        <v>4</v>
      </c>
      <c r="U57" s="252">
        <f t="shared" si="1"/>
        <v>133.10000000000005</v>
      </c>
      <c r="V57" s="47">
        <f t="shared" si="2"/>
        <v>6984.5101528667637</v>
      </c>
    </row>
    <row r="58" spans="2:22" ht="20.149999999999999" customHeight="1" x14ac:dyDescent="0.35">
      <c r="B58"/>
      <c r="C58"/>
      <c r="D58"/>
      <c r="E58"/>
      <c r="F58"/>
      <c r="G58"/>
      <c r="H58"/>
      <c r="I58"/>
      <c r="K58"/>
      <c r="L58"/>
      <c r="M58"/>
      <c r="N58" s="236"/>
      <c r="O58"/>
      <c r="T58" s="225">
        <v>5</v>
      </c>
      <c r="U58" s="252">
        <f t="shared" si="1"/>
        <v>146.41000000000008</v>
      </c>
      <c r="V58" s="47">
        <f t="shared" si="2"/>
        <v>9691.7943299727831</v>
      </c>
    </row>
    <row r="59" spans="2:22" ht="20.149999999999999" customHeight="1" x14ac:dyDescent="0.35">
      <c r="B59"/>
      <c r="C59"/>
      <c r="D59"/>
      <c r="E59"/>
      <c r="F59"/>
      <c r="G59"/>
      <c r="H59"/>
      <c r="I59"/>
      <c r="J59" s="140" t="str">
        <f>UPPER("Lump sum investment required")</f>
        <v>LUMP SUM INVESTMENT REQUIRED</v>
      </c>
      <c r="K59" s="234"/>
      <c r="L59" s="234"/>
      <c r="M59" s="234"/>
      <c r="N59" s="235"/>
      <c r="O59" s="685">
        <f>-PV(Q40,O45,,O57)</f>
        <v>4776587.5811207239</v>
      </c>
      <c r="P59" s="685"/>
      <c r="Q59" s="685"/>
      <c r="T59" s="225">
        <v>6</v>
      </c>
      <c r="U59" s="252">
        <f t="shared" si="1"/>
        <v>161.0510000000001</v>
      </c>
      <c r="V59" s="47">
        <f t="shared" si="2"/>
        <v>12910.866904207731</v>
      </c>
    </row>
    <row r="60" spans="2:22" ht="20.149999999999999" customHeight="1" x14ac:dyDescent="0.35">
      <c r="B60"/>
      <c r="C60"/>
      <c r="D60"/>
      <c r="E60"/>
      <c r="F60"/>
      <c r="G60"/>
      <c r="H60"/>
      <c r="I60"/>
      <c r="J60"/>
      <c r="K60"/>
      <c r="L60"/>
      <c r="M60"/>
      <c r="N60" s="236"/>
      <c r="O60"/>
      <c r="T60" s="225">
        <v>7</v>
      </c>
      <c r="U60" s="252">
        <f t="shared" si="1"/>
        <v>177.15610000000012</v>
      </c>
      <c r="V60" s="47">
        <f t="shared" si="2"/>
        <v>16721.833912814694</v>
      </c>
    </row>
    <row r="61" spans="2:22" ht="20.149999999999999" customHeight="1" x14ac:dyDescent="0.35">
      <c r="B61"/>
      <c r="C61"/>
      <c r="D61"/>
      <c r="E61"/>
      <c r="F61"/>
      <c r="G61"/>
      <c r="H61"/>
      <c r="I61"/>
      <c r="J61" s="232" t="str">
        <f>UPPER("Fixed SIP required")</f>
        <v>FIXED SIP REQUIRED</v>
      </c>
      <c r="K61" s="233"/>
      <c r="L61" s="233"/>
      <c r="M61" s="233"/>
      <c r="N61" s="237"/>
      <c r="O61" s="685">
        <f>-PMT((1+Q40)^(1/12)-1,O45*12,,O57,1)</f>
        <v>50090.770601592507</v>
      </c>
      <c r="P61" s="685"/>
      <c r="Q61" s="685"/>
      <c r="T61" s="225">
        <v>8</v>
      </c>
      <c r="U61" s="252">
        <f t="shared" si="1"/>
        <v>194.87171000000015</v>
      </c>
      <c r="V61" s="47">
        <f t="shared" si="2"/>
        <v>21216.283260464705</v>
      </c>
    </row>
    <row r="62" spans="2:22" ht="20.149999999999999" customHeight="1" x14ac:dyDescent="0.35">
      <c r="B62"/>
      <c r="C62"/>
      <c r="D62"/>
      <c r="E62"/>
      <c r="F62"/>
      <c r="G62"/>
      <c r="H62"/>
      <c r="I62"/>
      <c r="J62"/>
      <c r="K62"/>
      <c r="L62"/>
      <c r="M62"/>
      <c r="N62" s="236"/>
      <c r="O62"/>
      <c r="T62" s="225">
        <v>9</v>
      </c>
      <c r="U62" s="252">
        <f t="shared" si="1"/>
        <v>214.3588810000002</v>
      </c>
      <c r="V62" s="47">
        <f t="shared" si="2"/>
        <v>26498.849457643944</v>
      </c>
    </row>
    <row r="63" spans="2:22" ht="20.149999999999999" customHeight="1" x14ac:dyDescent="0.35">
      <c r="B63"/>
      <c r="C63"/>
      <c r="D63"/>
      <c r="E63"/>
      <c r="F63"/>
      <c r="G63"/>
      <c r="H63"/>
      <c r="I63"/>
      <c r="J63" s="232" t="str">
        <f>UPPER("Top-up (annualy 10%) SIP required")</f>
        <v>TOP-UP (ANNUALY 10%) SIP REQUIRED</v>
      </c>
      <c r="K63" s="233"/>
      <c r="L63" s="233"/>
      <c r="M63" s="233"/>
      <c r="N63" s="237"/>
      <c r="O63" s="685">
        <f>(100/VLOOKUP(O45,T54:V103,3,0))*O57</f>
        <v>24730.511466538934</v>
      </c>
      <c r="P63" s="685"/>
      <c r="Q63" s="685"/>
      <c r="T63" s="225">
        <v>10</v>
      </c>
      <c r="U63" s="252">
        <f t="shared" si="1"/>
        <v>235.79476910000022</v>
      </c>
      <c r="V63" s="47">
        <f t="shared" si="2"/>
        <v>32688.984819077043</v>
      </c>
    </row>
    <row r="64" spans="2:22" ht="20.149999999999999" customHeight="1" x14ac:dyDescent="0.35">
      <c r="B64"/>
      <c r="C64"/>
      <c r="D64"/>
      <c r="E64"/>
      <c r="F64"/>
      <c r="G64"/>
      <c r="H64"/>
      <c r="I64"/>
      <c r="J64"/>
      <c r="K64"/>
      <c r="L64"/>
      <c r="M64"/>
      <c r="N64"/>
      <c r="O64"/>
      <c r="T64" s="225">
        <v>11</v>
      </c>
      <c r="U64" s="252">
        <f t="shared" si="1"/>
        <v>259.37424601000026</v>
      </c>
      <c r="V64" s="47">
        <f t="shared" si="2"/>
        <v>39922.9637665337</v>
      </c>
    </row>
    <row r="65" spans="2:22" ht="20.149999999999999" customHeight="1" x14ac:dyDescent="0.35">
      <c r="B65"/>
      <c r="C65"/>
      <c r="D65"/>
      <c r="E65"/>
      <c r="F65"/>
      <c r="G65"/>
      <c r="H65"/>
      <c r="I65"/>
      <c r="J65"/>
      <c r="K65"/>
      <c r="L65"/>
      <c r="M65"/>
      <c r="N65"/>
      <c r="O65"/>
      <c r="T65" s="225">
        <v>12</v>
      </c>
      <c r="U65" s="252">
        <f t="shared" si="1"/>
        <v>285.3116706110003</v>
      </c>
      <c r="V65" s="47">
        <f t="shared" si="2"/>
        <v>48356.150264601907</v>
      </c>
    </row>
    <row r="66" spans="2:22" ht="20.149999999999999" customHeight="1" x14ac:dyDescent="0.35">
      <c r="B66"/>
      <c r="C66"/>
      <c r="D66"/>
      <c r="E66"/>
      <c r="F66"/>
      <c r="G66"/>
      <c r="H66"/>
      <c r="I66"/>
      <c r="J66"/>
      <c r="K66"/>
      <c r="L66"/>
      <c r="M66"/>
      <c r="N66"/>
      <c r="O66"/>
      <c r="T66" s="225">
        <v>13</v>
      </c>
      <c r="U66" s="252">
        <f t="shared" si="1"/>
        <v>313.84283767210036</v>
      </c>
      <c r="V66" s="47">
        <f t="shared" si="2"/>
        <v>58165.562227046721</v>
      </c>
    </row>
    <row r="67" spans="2:22" ht="20.149999999999999" customHeight="1" x14ac:dyDescent="0.35">
      <c r="B67" s="253" t="s">
        <v>223</v>
      </c>
      <c r="C67" s="668" t="s">
        <v>440</v>
      </c>
      <c r="D67" s="668"/>
      <c r="E67" s="668"/>
      <c r="F67" s="668" t="s">
        <v>439</v>
      </c>
      <c r="G67" s="668"/>
      <c r="H67" s="668"/>
      <c r="I67" s="668" t="s">
        <v>438</v>
      </c>
      <c r="J67" s="668"/>
      <c r="K67" s="668"/>
      <c r="L67" s="668" t="s">
        <v>437</v>
      </c>
      <c r="M67" s="668"/>
      <c r="N67" s="669"/>
      <c r="O67" s="670" t="s">
        <v>441</v>
      </c>
      <c r="P67" s="671"/>
      <c r="Q67" s="672"/>
      <c r="T67" s="225">
        <v>14</v>
      </c>
      <c r="U67" s="252">
        <f t="shared" si="1"/>
        <v>345.22712143931039</v>
      </c>
      <c r="V67" s="47">
        <f t="shared" si="2"/>
        <v>69552.771018054176</v>
      </c>
    </row>
    <row r="68" spans="2:22" ht="18" customHeight="1" x14ac:dyDescent="0.35">
      <c r="B68" s="185">
        <f>E41+1</f>
        <v>61</v>
      </c>
      <c r="C68" s="660">
        <f>O52</f>
        <v>43228386.750156246</v>
      </c>
      <c r="D68" s="665"/>
      <c r="E68" s="665"/>
      <c r="F68" s="660">
        <f>O49</f>
        <v>2362307.3753549349</v>
      </c>
      <c r="G68" s="665"/>
      <c r="H68" s="665"/>
      <c r="I68" s="660">
        <f>O48</f>
        <v>1625267.4742441953</v>
      </c>
      <c r="J68" s="665"/>
      <c r="K68" s="665"/>
      <c r="L68" s="660">
        <f>ABS((C68-F68)*(1+$Q$41))</f>
        <v>44952687.312281445</v>
      </c>
      <c r="M68" s="660"/>
      <c r="N68" s="660"/>
      <c r="O68" s="660">
        <f>O54</f>
        <v>2847977.0430314792</v>
      </c>
      <c r="P68" s="665"/>
      <c r="Q68" s="665"/>
      <c r="T68" s="225">
        <v>15</v>
      </c>
      <c r="U68" s="252">
        <f t="shared" si="1"/>
        <v>379.74983358324147</v>
      </c>
      <c r="V68" s="47">
        <f t="shared" si="2"/>
        <v>82747.178996358722</v>
      </c>
    </row>
    <row r="69" spans="2:22" ht="18" customHeight="1" x14ac:dyDescent="0.35">
      <c r="B69" s="185">
        <f>IF(B68="","",IF(B68+1&gt;$E$42,"",B68+1))</f>
        <v>62</v>
      </c>
      <c r="C69" s="660">
        <f>L68</f>
        <v>44952687.312281445</v>
      </c>
      <c r="D69" s="665"/>
      <c r="E69" s="665"/>
      <c r="F69" s="660">
        <f>F68*(1+$K$42)</f>
        <v>2527668.8916297806</v>
      </c>
      <c r="G69" s="660"/>
      <c r="H69" s="660"/>
      <c r="I69" s="660">
        <f>I68*(1+$K$42)</f>
        <v>1739036.197441289</v>
      </c>
      <c r="J69" s="660"/>
      <c r="K69" s="660"/>
      <c r="L69" s="660">
        <f t="shared" ref="L69:L97" si="3">ABS((C69-F69)*(1+$Q$41))</f>
        <v>46667520.262716837</v>
      </c>
      <c r="M69" s="660"/>
      <c r="N69" s="660"/>
      <c r="O69" s="660">
        <f>O68*(1+$Q$40)</f>
        <v>3189734.2881952571</v>
      </c>
      <c r="P69" s="660"/>
      <c r="Q69" s="660"/>
      <c r="S69" s="6" t="s">
        <v>450</v>
      </c>
      <c r="T69" s="225">
        <v>16</v>
      </c>
      <c r="U69" s="252">
        <f t="shared" si="1"/>
        <v>417.72481694156562</v>
      </c>
      <c r="V69" s="47">
        <f t="shared" si="2"/>
        <v>98009.723477673615</v>
      </c>
    </row>
    <row r="70" spans="2:22" ht="18" customHeight="1" x14ac:dyDescent="0.35">
      <c r="B70" s="185">
        <f t="shared" ref="B70:B97" si="4">IF(B69="","",IF(B69+1&gt;$E$42,"",B69+1))</f>
        <v>63</v>
      </c>
      <c r="C70" s="660">
        <f t="shared" ref="C70:C97" si="5">L69</f>
        <v>46667520.262716837</v>
      </c>
      <c r="D70" s="665"/>
      <c r="E70" s="665"/>
      <c r="F70" s="660">
        <f t="shared" ref="F70:F97" si="6">F69*(1+$K$42)</f>
        <v>2704605.7140438654</v>
      </c>
      <c r="G70" s="660"/>
      <c r="H70" s="660"/>
      <c r="I70" s="660">
        <f t="shared" ref="I70:I92" si="7">I69*(1+$K$42)</f>
        <v>1860768.7312621793</v>
      </c>
      <c r="J70" s="660"/>
      <c r="K70" s="660"/>
      <c r="L70" s="660">
        <f t="shared" si="3"/>
        <v>48359206.003540277</v>
      </c>
      <c r="M70" s="660"/>
      <c r="N70" s="660"/>
      <c r="O70" s="660">
        <f t="shared" ref="O70:O97" si="8">O69*(1+$Q$40)</f>
        <v>3572502.4027786884</v>
      </c>
      <c r="P70" s="660"/>
      <c r="Q70" s="660"/>
      <c r="T70" s="225">
        <v>17</v>
      </c>
      <c r="U70" s="252">
        <f t="shared" si="1"/>
        <v>459.49729863572225</v>
      </c>
      <c r="V70" s="47">
        <f t="shared" si="2"/>
        <v>115637.0615969215</v>
      </c>
    </row>
    <row r="71" spans="2:22" ht="18" customHeight="1" x14ac:dyDescent="0.35">
      <c r="B71" s="185">
        <f t="shared" si="4"/>
        <v>64</v>
      </c>
      <c r="C71" s="660">
        <f t="shared" si="5"/>
        <v>48359206.003540277</v>
      </c>
      <c r="D71" s="665"/>
      <c r="E71" s="665"/>
      <c r="F71" s="660">
        <f t="shared" si="6"/>
        <v>2893928.1140269362</v>
      </c>
      <c r="G71" s="660"/>
      <c r="H71" s="660"/>
      <c r="I71" s="660">
        <f t="shared" si="7"/>
        <v>1991022.5424505321</v>
      </c>
      <c r="J71" s="660"/>
      <c r="K71" s="660"/>
      <c r="L71" s="660">
        <f t="shared" si="3"/>
        <v>50011805.678464681</v>
      </c>
      <c r="M71" s="660"/>
      <c r="N71" s="660"/>
      <c r="O71" s="660">
        <f t="shared" si="8"/>
        <v>4001202.6911121313</v>
      </c>
      <c r="P71" s="660"/>
      <c r="Q71" s="660"/>
      <c r="S71" s="6" t="s">
        <v>450</v>
      </c>
      <c r="T71" s="225">
        <v>18</v>
      </c>
      <c r="U71" s="252">
        <f t="shared" si="1"/>
        <v>505.4470284992945</v>
      </c>
      <c r="V71" s="47">
        <f t="shared" si="2"/>
        <v>135966.29742067185</v>
      </c>
    </row>
    <row r="72" spans="2:22" ht="18" customHeight="1" x14ac:dyDescent="0.35">
      <c r="B72" s="185">
        <f t="shared" si="4"/>
        <v>65</v>
      </c>
      <c r="C72" s="660">
        <f t="shared" si="5"/>
        <v>50011805.678464681</v>
      </c>
      <c r="D72" s="665"/>
      <c r="E72" s="665"/>
      <c r="F72" s="660">
        <f t="shared" si="6"/>
        <v>3096503.0820088219</v>
      </c>
      <c r="G72" s="660"/>
      <c r="H72" s="660"/>
      <c r="I72" s="660">
        <f t="shared" si="7"/>
        <v>2130394.1204220694</v>
      </c>
      <c r="J72" s="660"/>
      <c r="K72" s="660"/>
      <c r="L72" s="660">
        <f t="shared" si="3"/>
        <v>51606832.856101446</v>
      </c>
      <c r="M72" s="660"/>
      <c r="N72" s="660"/>
      <c r="O72" s="660">
        <f t="shared" si="8"/>
        <v>4481347.0140455877</v>
      </c>
      <c r="P72" s="660"/>
      <c r="Q72" s="660"/>
      <c r="T72" s="225">
        <v>19</v>
      </c>
      <c r="U72" s="252">
        <f t="shared" si="1"/>
        <v>555.99173134922398</v>
      </c>
      <c r="V72" s="47">
        <f t="shared" si="2"/>
        <v>159380.32038648424</v>
      </c>
    </row>
    <row r="73" spans="2:22" ht="18" customHeight="1" x14ac:dyDescent="0.35">
      <c r="B73" s="185">
        <f t="shared" si="4"/>
        <v>66</v>
      </c>
      <c r="C73" s="660">
        <f t="shared" si="5"/>
        <v>51606832.856101446</v>
      </c>
      <c r="D73" s="665"/>
      <c r="E73" s="665"/>
      <c r="F73" s="660">
        <f t="shared" si="6"/>
        <v>3313258.2977494397</v>
      </c>
      <c r="G73" s="660"/>
      <c r="H73" s="660"/>
      <c r="I73" s="660">
        <f t="shared" si="7"/>
        <v>2279521.7088516145</v>
      </c>
      <c r="J73" s="660"/>
      <c r="K73" s="660"/>
      <c r="L73" s="660">
        <f t="shared" si="3"/>
        <v>53122932.014187217</v>
      </c>
      <c r="M73" s="660"/>
      <c r="N73" s="660"/>
      <c r="O73" s="660">
        <f t="shared" si="8"/>
        <v>5019108.6557310587</v>
      </c>
      <c r="P73" s="660"/>
      <c r="Q73" s="660"/>
      <c r="S73" s="6" t="s">
        <v>450</v>
      </c>
      <c r="T73" s="225">
        <v>20</v>
      </c>
      <c r="U73" s="252">
        <f t="shared" si="1"/>
        <v>611.59090448414645</v>
      </c>
      <c r="V73" s="47">
        <f t="shared" si="2"/>
        <v>186313.83283572731</v>
      </c>
    </row>
    <row r="74" spans="2:22" ht="18" customHeight="1" x14ac:dyDescent="0.35">
      <c r="B74" s="185">
        <f t="shared" si="4"/>
        <v>67</v>
      </c>
      <c r="C74" s="660">
        <f t="shared" si="5"/>
        <v>53122932.014187217</v>
      </c>
      <c r="D74" s="665"/>
      <c r="E74" s="665"/>
      <c r="F74" s="660">
        <f t="shared" si="6"/>
        <v>3545186.3785919007</v>
      </c>
      <c r="G74" s="660"/>
      <c r="H74" s="660"/>
      <c r="I74" s="660">
        <f t="shared" si="7"/>
        <v>2439088.2284712275</v>
      </c>
      <c r="J74" s="660"/>
      <c r="K74" s="660"/>
      <c r="L74" s="660">
        <f t="shared" si="3"/>
        <v>54535520.199154846</v>
      </c>
      <c r="M74" s="660"/>
      <c r="N74" s="660"/>
      <c r="O74" s="660">
        <f t="shared" si="8"/>
        <v>5621401.6944187861</v>
      </c>
      <c r="P74" s="660"/>
      <c r="Q74" s="660"/>
      <c r="T74" s="225">
        <v>21</v>
      </c>
      <c r="U74" s="252">
        <f t="shared" si="1"/>
        <v>672.74999493256109</v>
      </c>
      <c r="V74" s="47">
        <f t="shared" si="2"/>
        <v>217260.15417916607</v>
      </c>
    </row>
    <row r="75" spans="2:22" ht="18" customHeight="1" x14ac:dyDescent="0.35">
      <c r="B75" s="185">
        <f t="shared" si="4"/>
        <v>68</v>
      </c>
      <c r="C75" s="660">
        <f t="shared" si="5"/>
        <v>54535520.199154846</v>
      </c>
      <c r="D75" s="665"/>
      <c r="E75" s="665"/>
      <c r="F75" s="660">
        <f t="shared" si="6"/>
        <v>3793349.4250933342</v>
      </c>
      <c r="G75" s="660"/>
      <c r="H75" s="660"/>
      <c r="I75" s="660">
        <f t="shared" si="7"/>
        <v>2609824.4044642136</v>
      </c>
      <c r="J75" s="660"/>
      <c r="K75" s="660"/>
      <c r="L75" s="660">
        <f t="shared" si="3"/>
        <v>55816387.851467669</v>
      </c>
      <c r="M75" s="660"/>
      <c r="N75" s="660"/>
      <c r="O75" s="660">
        <f t="shared" si="8"/>
        <v>6295969.8977490412</v>
      </c>
      <c r="P75" s="660"/>
      <c r="Q75" s="660"/>
      <c r="S75" s="6" t="s">
        <v>450</v>
      </c>
      <c r="T75" s="225">
        <v>22</v>
      </c>
      <c r="U75" s="252">
        <f t="shared" si="1"/>
        <v>740.02499442581723</v>
      </c>
      <c r="V75" s="47">
        <f t="shared" si="2"/>
        <v>252778.90022413261</v>
      </c>
    </row>
    <row r="76" spans="2:22" ht="18" customHeight="1" x14ac:dyDescent="0.35">
      <c r="B76" s="185">
        <f t="shared" si="4"/>
        <v>69</v>
      </c>
      <c r="C76" s="660">
        <f t="shared" si="5"/>
        <v>55816387.851467669</v>
      </c>
      <c r="D76" s="665"/>
      <c r="E76" s="665"/>
      <c r="F76" s="660">
        <f t="shared" si="6"/>
        <v>4058883.8848498678</v>
      </c>
      <c r="G76" s="660"/>
      <c r="H76" s="660"/>
      <c r="I76" s="660">
        <f t="shared" si="7"/>
        <v>2792512.1127767088</v>
      </c>
      <c r="J76" s="660"/>
      <c r="K76" s="660"/>
      <c r="L76" s="660">
        <f t="shared" si="3"/>
        <v>56933254.363279589</v>
      </c>
      <c r="M76" s="660"/>
      <c r="N76" s="660"/>
      <c r="O76" s="660">
        <f t="shared" si="8"/>
        <v>7051486.2854789272</v>
      </c>
      <c r="P76" s="660"/>
      <c r="Q76" s="660"/>
      <c r="T76" s="225">
        <v>23</v>
      </c>
      <c r="U76" s="252">
        <f t="shared" si="1"/>
        <v>814.02749386839901</v>
      </c>
      <c r="V76" s="47">
        <f t="shared" si="2"/>
        <v>293504.64854884183</v>
      </c>
    </row>
    <row r="77" spans="2:22" ht="18" customHeight="1" x14ac:dyDescent="0.35">
      <c r="B77" s="185">
        <f t="shared" si="4"/>
        <v>70</v>
      </c>
      <c r="C77" s="660">
        <f t="shared" si="5"/>
        <v>56933254.363279589</v>
      </c>
      <c r="D77" s="665"/>
      <c r="E77" s="665"/>
      <c r="F77" s="660">
        <f t="shared" si="6"/>
        <v>4343005.7567893583</v>
      </c>
      <c r="G77" s="660"/>
      <c r="H77" s="660"/>
      <c r="I77" s="660">
        <f t="shared" si="7"/>
        <v>2987987.9606710784</v>
      </c>
      <c r="J77" s="660"/>
      <c r="K77" s="660"/>
      <c r="L77" s="660">
        <f t="shared" si="3"/>
        <v>57849273.467139259</v>
      </c>
      <c r="M77" s="660"/>
      <c r="N77" s="660"/>
      <c r="O77" s="660">
        <f t="shared" si="8"/>
        <v>7897664.6397363991</v>
      </c>
      <c r="P77" s="660"/>
      <c r="Q77" s="660"/>
      <c r="S77" s="6" t="s">
        <v>450</v>
      </c>
      <c r="T77" s="225">
        <v>24</v>
      </c>
      <c r="U77" s="252">
        <f t="shared" si="1"/>
        <v>895.43024325523902</v>
      </c>
      <c r="V77" s="47">
        <f t="shared" si="2"/>
        <v>340156.71470229753</v>
      </c>
    </row>
    <row r="78" spans="2:22" ht="18" customHeight="1" x14ac:dyDescent="0.35">
      <c r="B78" s="185">
        <f t="shared" si="4"/>
        <v>71</v>
      </c>
      <c r="C78" s="660">
        <f t="shared" si="5"/>
        <v>57849273.467139259</v>
      </c>
      <c r="D78" s="665"/>
      <c r="E78" s="665"/>
      <c r="F78" s="660">
        <f t="shared" si="6"/>
        <v>4647016.159764614</v>
      </c>
      <c r="G78" s="660"/>
      <c r="H78" s="660"/>
      <c r="I78" s="660">
        <f t="shared" si="7"/>
        <v>3197147.1179180541</v>
      </c>
      <c r="J78" s="660"/>
      <c r="K78" s="660"/>
      <c r="L78" s="660">
        <f t="shared" si="3"/>
        <v>58522483.038112111</v>
      </c>
      <c r="M78" s="660"/>
      <c r="N78" s="660"/>
      <c r="O78" s="660">
        <f t="shared" si="8"/>
        <v>8845384.3965047672</v>
      </c>
      <c r="P78" s="660"/>
      <c r="Q78" s="660"/>
      <c r="T78" s="225">
        <v>25</v>
      </c>
      <c r="U78" s="252">
        <f t="shared" si="1"/>
        <v>984.97326758076304</v>
      </c>
      <c r="V78" s="47">
        <f t="shared" si="2"/>
        <v>393550.17962692736</v>
      </c>
    </row>
    <row r="79" spans="2:22" ht="18" customHeight="1" x14ac:dyDescent="0.35">
      <c r="B79" s="185">
        <f t="shared" si="4"/>
        <v>72</v>
      </c>
      <c r="C79" s="660">
        <f t="shared" si="5"/>
        <v>58522483.038112111</v>
      </c>
      <c r="D79" s="665"/>
      <c r="E79" s="665"/>
      <c r="F79" s="660">
        <f t="shared" si="6"/>
        <v>4972307.2909481376</v>
      </c>
      <c r="G79" s="660"/>
      <c r="H79" s="660"/>
      <c r="I79" s="660">
        <f t="shared" si="7"/>
        <v>3420947.4161723182</v>
      </c>
      <c r="J79" s="660"/>
      <c r="K79" s="660"/>
      <c r="L79" s="660">
        <f t="shared" si="3"/>
        <v>58905193.321880378</v>
      </c>
      <c r="M79" s="660"/>
      <c r="N79" s="660"/>
      <c r="O79" s="660">
        <f t="shared" si="8"/>
        <v>9906830.524085341</v>
      </c>
      <c r="P79" s="660"/>
      <c r="Q79" s="660"/>
      <c r="S79" s="6" t="s">
        <v>450</v>
      </c>
      <c r="T79" s="225">
        <v>26</v>
      </c>
      <c r="U79" s="252">
        <f t="shared" si="1"/>
        <v>1083.4705943388394</v>
      </c>
      <c r="V79" s="47">
        <f t="shared" si="2"/>
        <v>454608.32625854824</v>
      </c>
    </row>
    <row r="80" spans="2:22" ht="18" customHeight="1" x14ac:dyDescent="0.35">
      <c r="B80" s="185">
        <f t="shared" si="4"/>
        <v>73</v>
      </c>
      <c r="C80" s="660">
        <f t="shared" si="5"/>
        <v>58905193.321880378</v>
      </c>
      <c r="D80" s="665"/>
      <c r="E80" s="665"/>
      <c r="F80" s="660">
        <f t="shared" si="6"/>
        <v>5320368.8013145076</v>
      </c>
      <c r="G80" s="660"/>
      <c r="H80" s="660"/>
      <c r="I80" s="660">
        <f t="shared" si="7"/>
        <v>3660413.7353043808</v>
      </c>
      <c r="J80" s="660"/>
      <c r="K80" s="660"/>
      <c r="L80" s="660">
        <f t="shared" si="3"/>
        <v>58943306.972622462</v>
      </c>
      <c r="M80" s="660"/>
      <c r="N80" s="660"/>
      <c r="O80" s="660">
        <f t="shared" si="8"/>
        <v>11095650.186975583</v>
      </c>
      <c r="P80" s="660"/>
      <c r="Q80" s="660"/>
      <c r="T80" s="225">
        <v>27</v>
      </c>
      <c r="U80" s="252">
        <f t="shared" si="1"/>
        <v>1191.8176537727234</v>
      </c>
      <c r="V80" s="47">
        <f t="shared" si="2"/>
        <v>524376.66299360257</v>
      </c>
    </row>
    <row r="81" spans="2:22" ht="18" customHeight="1" x14ac:dyDescent="0.35">
      <c r="B81" s="185">
        <f t="shared" si="4"/>
        <v>74</v>
      </c>
      <c r="C81" s="660">
        <f t="shared" si="5"/>
        <v>58943306.972622462</v>
      </c>
      <c r="D81" s="665"/>
      <c r="E81" s="665"/>
      <c r="F81" s="660">
        <f t="shared" si="6"/>
        <v>5692794.6174065238</v>
      </c>
      <c r="G81" s="660"/>
      <c r="H81" s="660"/>
      <c r="I81" s="660">
        <f t="shared" si="7"/>
        <v>3916642.6967756879</v>
      </c>
      <c r="J81" s="660"/>
      <c r="K81" s="660"/>
      <c r="L81" s="660">
        <f t="shared" si="3"/>
        <v>58575563.590737537</v>
      </c>
      <c r="M81" s="660"/>
      <c r="N81" s="660"/>
      <c r="O81" s="660">
        <f t="shared" si="8"/>
        <v>12427128.209412655</v>
      </c>
      <c r="P81" s="660"/>
      <c r="Q81" s="660"/>
      <c r="S81" s="6" t="s">
        <v>450</v>
      </c>
      <c r="T81" s="225">
        <v>28</v>
      </c>
      <c r="U81" s="252">
        <f t="shared" si="1"/>
        <v>1310.9994191499959</v>
      </c>
      <c r="V81" s="47">
        <f t="shared" si="2"/>
        <v>604038.73389526631</v>
      </c>
    </row>
    <row r="82" spans="2:22" ht="18" customHeight="1" x14ac:dyDescent="0.35">
      <c r="B82" s="185">
        <f t="shared" si="4"/>
        <v>75</v>
      </c>
      <c r="C82" s="660">
        <f t="shared" si="5"/>
        <v>58575563.590737537</v>
      </c>
      <c r="D82" s="665"/>
      <c r="E82" s="665"/>
      <c r="F82" s="660">
        <f t="shared" si="6"/>
        <v>6091290.240624981</v>
      </c>
      <c r="G82" s="660"/>
      <c r="H82" s="660"/>
      <c r="I82" s="660">
        <f t="shared" si="7"/>
        <v>4190807.6855499861</v>
      </c>
      <c r="J82" s="660"/>
      <c r="K82" s="660"/>
      <c r="L82" s="660">
        <f t="shared" si="3"/>
        <v>57732700.685123816</v>
      </c>
      <c r="M82" s="660"/>
      <c r="N82" s="660"/>
      <c r="O82" s="660">
        <f t="shared" si="8"/>
        <v>13918383.594542176</v>
      </c>
      <c r="P82" s="660"/>
      <c r="Q82" s="660"/>
      <c r="T82" s="225">
        <v>29</v>
      </c>
      <c r="U82" s="252">
        <f t="shared" si="1"/>
        <v>1442.0993610649957</v>
      </c>
      <c r="V82" s="47">
        <f t="shared" si="2"/>
        <v>694933.94043937291</v>
      </c>
    </row>
    <row r="83" spans="2:22" ht="18" customHeight="1" x14ac:dyDescent="0.35">
      <c r="B83" s="185">
        <f t="shared" si="4"/>
        <v>76</v>
      </c>
      <c r="C83" s="660">
        <f t="shared" si="5"/>
        <v>57732700.685123816</v>
      </c>
      <c r="D83" s="665"/>
      <c r="E83" s="665"/>
      <c r="F83" s="660">
        <f t="shared" si="6"/>
        <v>6517680.55746873</v>
      </c>
      <c r="G83" s="660"/>
      <c r="H83" s="660"/>
      <c r="I83" s="660">
        <f t="shared" si="7"/>
        <v>4484164.2235384854</v>
      </c>
      <c r="J83" s="660"/>
      <c r="K83" s="660"/>
      <c r="L83" s="660">
        <f t="shared" si="3"/>
        <v>56336522.140420601</v>
      </c>
      <c r="M83" s="660"/>
      <c r="N83" s="660"/>
      <c r="O83" s="660">
        <f t="shared" si="8"/>
        <v>15588589.625887237</v>
      </c>
      <c r="P83" s="660"/>
      <c r="Q83" s="660"/>
      <c r="S83" s="6" t="s">
        <v>450</v>
      </c>
      <c r="T83" s="225">
        <v>30</v>
      </c>
      <c r="U83" s="252">
        <f t="shared" si="1"/>
        <v>1586.3092971714955</v>
      </c>
      <c r="V83" s="47">
        <f t="shared" si="2"/>
        <v>798577.62761643983</v>
      </c>
    </row>
    <row r="84" spans="2:22" ht="18" customHeight="1" x14ac:dyDescent="0.35">
      <c r="B84" s="185">
        <f t="shared" si="4"/>
        <v>77</v>
      </c>
      <c r="C84" s="660">
        <f t="shared" si="5"/>
        <v>56336522.140420601</v>
      </c>
      <c r="D84" s="665"/>
      <c r="E84" s="665"/>
      <c r="F84" s="660">
        <f t="shared" si="6"/>
        <v>6973918.1964915413</v>
      </c>
      <c r="G84" s="660"/>
      <c r="H84" s="660"/>
      <c r="I84" s="660">
        <f t="shared" si="7"/>
        <v>4798055.7191861793</v>
      </c>
      <c r="J84" s="660"/>
      <c r="K84" s="660"/>
      <c r="L84" s="660">
        <f t="shared" si="3"/>
        <v>54298864.338321969</v>
      </c>
      <c r="M84" s="660"/>
      <c r="N84" s="660"/>
      <c r="O84" s="660">
        <f t="shared" si="8"/>
        <v>17459220.380993709</v>
      </c>
      <c r="P84" s="660"/>
      <c r="Q84" s="660"/>
      <c r="T84" s="225">
        <v>31</v>
      </c>
      <c r="U84" s="252">
        <f t="shared" si="1"/>
        <v>1744.9402268886452</v>
      </c>
      <c r="V84" s="47">
        <f t="shared" si="2"/>
        <v>916683.71868718904</v>
      </c>
    </row>
    <row r="85" spans="2:22" ht="18" customHeight="1" x14ac:dyDescent="0.35">
      <c r="B85" s="185">
        <f t="shared" si="4"/>
        <v>78</v>
      </c>
      <c r="C85" s="660">
        <f t="shared" si="5"/>
        <v>54298864.338321969</v>
      </c>
      <c r="D85" s="665"/>
      <c r="E85" s="665"/>
      <c r="F85" s="660">
        <f t="shared" si="6"/>
        <v>7462092.4702459499</v>
      </c>
      <c r="G85" s="660"/>
      <c r="H85" s="660"/>
      <c r="I85" s="660">
        <f t="shared" si="7"/>
        <v>5133919.6195292119</v>
      </c>
      <c r="J85" s="660"/>
      <c r="K85" s="660"/>
      <c r="L85" s="660">
        <f t="shared" si="3"/>
        <v>51520449.054883622</v>
      </c>
      <c r="M85" s="660"/>
      <c r="N85" s="660"/>
      <c r="O85" s="660">
        <f t="shared" si="8"/>
        <v>19554326.826712955</v>
      </c>
      <c r="P85" s="660"/>
      <c r="Q85" s="660"/>
      <c r="S85" s="6" t="s">
        <v>450</v>
      </c>
      <c r="T85" s="225">
        <v>32</v>
      </c>
      <c r="U85" s="252">
        <f t="shared" si="1"/>
        <v>1919.4342495775097</v>
      </c>
      <c r="V85" s="47">
        <f t="shared" si="2"/>
        <v>1051190.2182621059</v>
      </c>
    </row>
    <row r="86" spans="2:22" ht="18" customHeight="1" x14ac:dyDescent="0.35">
      <c r="B86" s="185">
        <f t="shared" si="4"/>
        <v>79</v>
      </c>
      <c r="C86" s="660">
        <f t="shared" si="5"/>
        <v>51520449.054883622</v>
      </c>
      <c r="D86" s="665"/>
      <c r="E86" s="665"/>
      <c r="F86" s="660">
        <f t="shared" si="6"/>
        <v>7984438.9431631668</v>
      </c>
      <c r="G86" s="660"/>
      <c r="H86" s="660"/>
      <c r="I86" s="660">
        <f t="shared" si="7"/>
        <v>5493293.992896257</v>
      </c>
      <c r="J86" s="660"/>
      <c r="K86" s="660"/>
      <c r="L86" s="660">
        <f t="shared" si="3"/>
        <v>47889611.122892506</v>
      </c>
      <c r="M86" s="660"/>
      <c r="N86" s="660"/>
      <c r="O86" s="660">
        <f t="shared" si="8"/>
        <v>21900846.045918513</v>
      </c>
      <c r="P86" s="660"/>
      <c r="Q86" s="660"/>
      <c r="T86" s="225">
        <v>33</v>
      </c>
      <c r="U86" s="252">
        <f t="shared" si="1"/>
        <v>2111.3776745352607</v>
      </c>
      <c r="V86" s="47">
        <f t="shared" si="2"/>
        <v>1204287.9431192582</v>
      </c>
    </row>
    <row r="87" spans="2:22" ht="18" customHeight="1" x14ac:dyDescent="0.35">
      <c r="B87" s="185">
        <f t="shared" si="4"/>
        <v>80</v>
      </c>
      <c r="C87" s="660">
        <f t="shared" si="5"/>
        <v>47889611.122892506</v>
      </c>
      <c r="D87" s="665"/>
      <c r="E87" s="665"/>
      <c r="F87" s="660">
        <f t="shared" si="6"/>
        <v>8543349.6691845898</v>
      </c>
      <c r="G87" s="660"/>
      <c r="H87" s="660"/>
      <c r="I87" s="660">
        <f t="shared" si="7"/>
        <v>5877824.572398995</v>
      </c>
      <c r="J87" s="660"/>
      <c r="K87" s="660"/>
      <c r="L87" s="660">
        <f t="shared" si="3"/>
        <v>43280887.599078715</v>
      </c>
      <c r="M87" s="660"/>
      <c r="N87" s="660"/>
      <c r="O87" s="660">
        <f t="shared" si="8"/>
        <v>24528947.571428739</v>
      </c>
      <c r="P87" s="660"/>
      <c r="Q87" s="660"/>
      <c r="S87" s="6" t="s">
        <v>450</v>
      </c>
      <c r="T87" s="225">
        <v>34</v>
      </c>
      <c r="U87" s="252">
        <f t="shared" si="1"/>
        <v>2322.5154419887867</v>
      </c>
      <c r="V87" s="47">
        <f t="shared" si="2"/>
        <v>1378452.8848258387</v>
      </c>
    </row>
    <row r="88" spans="2:22" ht="18" customHeight="1" x14ac:dyDescent="0.35">
      <c r="B88" s="185">
        <f t="shared" si="4"/>
        <v>81</v>
      </c>
      <c r="C88" s="660">
        <f t="shared" si="5"/>
        <v>43280887.599078715</v>
      </c>
      <c r="D88" s="665"/>
      <c r="E88" s="665"/>
      <c r="F88" s="660">
        <f t="shared" si="6"/>
        <v>9141384.146027511</v>
      </c>
      <c r="G88" s="660"/>
      <c r="H88" s="660"/>
      <c r="I88" s="660">
        <f t="shared" si="7"/>
        <v>6289272.2924669255</v>
      </c>
      <c r="J88" s="660"/>
      <c r="K88" s="660"/>
      <c r="L88" s="660">
        <f t="shared" si="3"/>
        <v>37553453.798356324</v>
      </c>
      <c r="M88" s="660"/>
      <c r="N88" s="660"/>
      <c r="O88" s="660">
        <f t="shared" si="8"/>
        <v>27472421.280000191</v>
      </c>
      <c r="P88" s="660"/>
      <c r="Q88" s="660"/>
      <c r="T88" s="225">
        <v>35</v>
      </c>
      <c r="U88" s="252">
        <f t="shared" si="1"/>
        <v>2554.7669861876657</v>
      </c>
      <c r="V88" s="47">
        <f t="shared" si="2"/>
        <v>1576482.6583904361</v>
      </c>
    </row>
    <row r="89" spans="2:22" ht="18" customHeight="1" x14ac:dyDescent="0.35">
      <c r="B89" s="185">
        <f t="shared" si="4"/>
        <v>82</v>
      </c>
      <c r="C89" s="660">
        <f t="shared" si="5"/>
        <v>37553453.798356324</v>
      </c>
      <c r="D89" s="665"/>
      <c r="E89" s="665"/>
      <c r="F89" s="660">
        <f t="shared" si="6"/>
        <v>9781281.0362494364</v>
      </c>
      <c r="G89" s="660"/>
      <c r="H89" s="660"/>
      <c r="I89" s="660">
        <f t="shared" si="7"/>
        <v>6729521.3529396104</v>
      </c>
      <c r="J89" s="660"/>
      <c r="K89" s="660"/>
      <c r="L89" s="660">
        <f t="shared" si="3"/>
        <v>30549390.03831758</v>
      </c>
      <c r="M89" s="660"/>
      <c r="N89" s="660"/>
      <c r="O89" s="660">
        <f t="shared" si="8"/>
        <v>30769111.833600216</v>
      </c>
      <c r="P89" s="660"/>
      <c r="Q89" s="660"/>
      <c r="S89" s="6" t="s">
        <v>450</v>
      </c>
      <c r="T89" s="225">
        <v>36</v>
      </c>
      <c r="U89" s="252">
        <f t="shared" si="1"/>
        <v>2810.2436848064326</v>
      </c>
      <c r="V89" s="47">
        <f t="shared" si="2"/>
        <v>1801537.5475213348</v>
      </c>
    </row>
    <row r="90" spans="2:22" ht="18" customHeight="1" x14ac:dyDescent="0.35">
      <c r="B90" s="185">
        <f t="shared" si="4"/>
        <v>83</v>
      </c>
      <c r="C90" s="660">
        <f t="shared" si="5"/>
        <v>30549390.03831758</v>
      </c>
      <c r="D90" s="665"/>
      <c r="E90" s="665"/>
      <c r="F90" s="660">
        <f t="shared" si="6"/>
        <v>10465970.708786897</v>
      </c>
      <c r="G90" s="660"/>
      <c r="H90" s="660"/>
      <c r="I90" s="660">
        <f t="shared" si="7"/>
        <v>7200587.8476453833</v>
      </c>
      <c r="J90" s="660"/>
      <c r="K90" s="660"/>
      <c r="L90" s="660">
        <f t="shared" si="3"/>
        <v>22091761.262483753</v>
      </c>
      <c r="M90" s="660"/>
      <c r="N90" s="660"/>
      <c r="O90" s="660">
        <f t="shared" si="8"/>
        <v>34461405.253632247</v>
      </c>
      <c r="P90" s="660"/>
      <c r="Q90" s="660"/>
      <c r="T90" s="225">
        <v>37</v>
      </c>
      <c r="U90" s="252">
        <f t="shared" si="1"/>
        <v>3091.2680532870763</v>
      </c>
      <c r="V90" s="47">
        <f t="shared" si="2"/>
        <v>2057186.7203603464</v>
      </c>
    </row>
    <row r="91" spans="2:22" ht="18" customHeight="1" x14ac:dyDescent="0.35">
      <c r="B91" s="185">
        <f t="shared" si="4"/>
        <v>84</v>
      </c>
      <c r="C91" s="660">
        <f t="shared" si="5"/>
        <v>22091761.262483753</v>
      </c>
      <c r="D91" s="665"/>
      <c r="E91" s="665"/>
      <c r="F91" s="660">
        <f t="shared" si="6"/>
        <v>11198588.658401981</v>
      </c>
      <c r="G91" s="660"/>
      <c r="H91" s="660"/>
      <c r="I91" s="660">
        <f t="shared" si="7"/>
        <v>7704628.9969805609</v>
      </c>
      <c r="J91" s="660"/>
      <c r="K91" s="660"/>
      <c r="L91" s="660">
        <f t="shared" si="3"/>
        <v>11982489.86448995</v>
      </c>
      <c r="M91" s="660"/>
      <c r="N91" s="660"/>
      <c r="O91" s="660">
        <f t="shared" si="8"/>
        <v>38596773.884068124</v>
      </c>
      <c r="P91" s="660"/>
      <c r="Q91" s="660"/>
      <c r="S91" s="6" t="s">
        <v>450</v>
      </c>
      <c r="T91" s="225">
        <v>38</v>
      </c>
      <c r="U91" s="252">
        <f t="shared" si="1"/>
        <v>3400.3948586157844</v>
      </c>
      <c r="V91" s="47">
        <f t="shared" si="2"/>
        <v>2347460.2606536844</v>
      </c>
    </row>
    <row r="92" spans="2:22" ht="18" customHeight="1" x14ac:dyDescent="0.35">
      <c r="B92" s="185">
        <f t="shared" si="4"/>
        <v>85</v>
      </c>
      <c r="C92" s="660">
        <f t="shared" si="5"/>
        <v>11982489.86448995</v>
      </c>
      <c r="D92" s="665"/>
      <c r="E92" s="665"/>
      <c r="F92" s="660">
        <f t="shared" si="6"/>
        <v>11982489.86449012</v>
      </c>
      <c r="G92" s="660"/>
      <c r="H92" s="660"/>
      <c r="I92" s="660">
        <f t="shared" si="7"/>
        <v>8243953.0267692003</v>
      </c>
      <c r="J92" s="660"/>
      <c r="K92" s="660"/>
      <c r="L92" s="660">
        <f t="shared" si="3"/>
        <v>1.8645077943801881E-7</v>
      </c>
      <c r="M92" s="660"/>
      <c r="N92" s="660"/>
      <c r="O92" s="660">
        <f t="shared" si="8"/>
        <v>43228386.750156306</v>
      </c>
      <c r="P92" s="660"/>
      <c r="Q92" s="660"/>
      <c r="T92" s="225">
        <v>39</v>
      </c>
      <c r="U92" s="252">
        <f t="shared" si="1"/>
        <v>3740.4343444773631</v>
      </c>
      <c r="V92" s="47">
        <f t="shared" si="2"/>
        <v>2676907.739167233</v>
      </c>
    </row>
    <row r="93" spans="2:22" ht="18" customHeight="1" x14ac:dyDescent="0.35">
      <c r="B93" s="185" t="str">
        <f t="shared" si="4"/>
        <v/>
      </c>
      <c r="C93" s="660">
        <f t="shared" si="5"/>
        <v>1.8645077943801881E-7</v>
      </c>
      <c r="D93" s="665"/>
      <c r="E93" s="665"/>
      <c r="F93" s="660">
        <f t="shared" si="6"/>
        <v>12821264.155004429</v>
      </c>
      <c r="G93" s="660"/>
      <c r="H93" s="660"/>
      <c r="I93" s="660">
        <f t="shared" ref="I93:I97" si="9">I92*(1+K66)</f>
        <v>8243953.0267692003</v>
      </c>
      <c r="J93" s="660"/>
      <c r="K93" s="660"/>
      <c r="L93" s="660">
        <f t="shared" si="3"/>
        <v>14103390.570504667</v>
      </c>
      <c r="M93" s="660"/>
      <c r="N93" s="660"/>
      <c r="O93" s="660">
        <f t="shared" si="8"/>
        <v>48415793.16017507</v>
      </c>
      <c r="P93" s="660"/>
      <c r="Q93" s="660"/>
      <c r="S93" s="6" t="s">
        <v>450</v>
      </c>
      <c r="T93" s="225">
        <v>40</v>
      </c>
      <c r="U93" s="252">
        <f t="shared" si="1"/>
        <v>4114.4777789250993</v>
      </c>
      <c r="V93" s="47">
        <f t="shared" si="2"/>
        <v>3050664.1398259178</v>
      </c>
    </row>
    <row r="94" spans="2:22" ht="18" customHeight="1" x14ac:dyDescent="0.35">
      <c r="B94" s="185" t="str">
        <f t="shared" si="4"/>
        <v/>
      </c>
      <c r="C94" s="660">
        <f t="shared" si="5"/>
        <v>14103390.570504667</v>
      </c>
      <c r="D94" s="665"/>
      <c r="E94" s="665"/>
      <c r="F94" s="660">
        <f t="shared" si="6"/>
        <v>13718752.645854739</v>
      </c>
      <c r="G94" s="660"/>
      <c r="H94" s="660"/>
      <c r="I94" s="660">
        <f t="shared" si="9"/>
        <v>8243953.0267692003</v>
      </c>
      <c r="J94" s="660"/>
      <c r="K94" s="660"/>
      <c r="L94" s="660">
        <f t="shared" si="3"/>
        <v>423101.71711492055</v>
      </c>
      <c r="M94" s="660"/>
      <c r="N94" s="660"/>
      <c r="O94" s="660">
        <f t="shared" si="8"/>
        <v>54225688.339396082</v>
      </c>
      <c r="P94" s="660"/>
      <c r="Q94" s="660"/>
      <c r="T94" s="225">
        <v>41</v>
      </c>
      <c r="U94" s="252">
        <f t="shared" si="1"/>
        <v>4525.9255568176095</v>
      </c>
      <c r="V94" s="47">
        <f t="shared" si="2"/>
        <v>3474524.0557595068</v>
      </c>
    </row>
    <row r="95" spans="2:22" ht="18" customHeight="1" x14ac:dyDescent="0.35">
      <c r="B95" s="185" t="str">
        <f t="shared" si="4"/>
        <v/>
      </c>
      <c r="C95" s="660">
        <f t="shared" si="5"/>
        <v>423101.71711492055</v>
      </c>
      <c r="D95" s="665"/>
      <c r="E95" s="665"/>
      <c r="F95" s="660">
        <f t="shared" si="6"/>
        <v>14679065.331064573</v>
      </c>
      <c r="G95" s="660"/>
      <c r="H95" s="660"/>
      <c r="I95" s="660">
        <f t="shared" si="9"/>
        <v>8243953.0267692003</v>
      </c>
      <c r="J95" s="660"/>
      <c r="K95" s="660"/>
      <c r="L95" s="660">
        <f t="shared" si="3"/>
        <v>15681559.975344619</v>
      </c>
      <c r="M95" s="660"/>
      <c r="N95" s="660"/>
      <c r="O95" s="660">
        <f t="shared" si="8"/>
        <v>60732770.940123618</v>
      </c>
      <c r="P95" s="660"/>
      <c r="Q95" s="660"/>
      <c r="S95" s="6" t="s">
        <v>450</v>
      </c>
      <c r="T95" s="225">
        <v>42</v>
      </c>
      <c r="U95" s="252">
        <f t="shared" si="1"/>
        <v>4978.5181124993705</v>
      </c>
      <c r="V95" s="47">
        <f t="shared" si="2"/>
        <v>3955025.1835205741</v>
      </c>
    </row>
    <row r="96" spans="2:22" ht="18" customHeight="1" x14ac:dyDescent="0.35">
      <c r="B96" s="185" t="str">
        <f t="shared" si="4"/>
        <v/>
      </c>
      <c r="C96" s="660">
        <f t="shared" si="5"/>
        <v>15681559.975344619</v>
      </c>
      <c r="D96" s="665"/>
      <c r="E96" s="665"/>
      <c r="F96" s="660">
        <f t="shared" si="6"/>
        <v>15706599.904239094</v>
      </c>
      <c r="G96" s="660"/>
      <c r="H96" s="660"/>
      <c r="I96" s="660">
        <f t="shared" si="9"/>
        <v>8243953.0267692003</v>
      </c>
      <c r="J96" s="660"/>
      <c r="K96" s="660"/>
      <c r="L96" s="660">
        <f t="shared" si="3"/>
        <v>27543.921783922615</v>
      </c>
      <c r="M96" s="660"/>
      <c r="N96" s="660"/>
      <c r="O96" s="660">
        <f t="shared" si="8"/>
        <v>68020703.452938452</v>
      </c>
      <c r="P96" s="660"/>
      <c r="Q96" s="660"/>
      <c r="T96" s="225">
        <v>43</v>
      </c>
      <c r="U96" s="252">
        <f t="shared" si="1"/>
        <v>5476.3699237493083</v>
      </c>
      <c r="V96" s="47">
        <f t="shared" si="2"/>
        <v>4499542.2707199631</v>
      </c>
    </row>
    <row r="97" spans="2:23" ht="18" customHeight="1" x14ac:dyDescent="0.35">
      <c r="B97" s="185" t="str">
        <f t="shared" si="4"/>
        <v/>
      </c>
      <c r="C97" s="660">
        <f t="shared" si="5"/>
        <v>27543.921783922615</v>
      </c>
      <c r="D97" s="665"/>
      <c r="E97" s="665"/>
      <c r="F97" s="660">
        <f t="shared" si="6"/>
        <v>16806061.897535831</v>
      </c>
      <c r="G97" s="660"/>
      <c r="H97" s="660"/>
      <c r="I97" s="660">
        <f t="shared" si="9"/>
        <v>8243953.0267692003</v>
      </c>
      <c r="J97" s="660"/>
      <c r="K97" s="660"/>
      <c r="L97" s="660">
        <f t="shared" si="3"/>
        <v>18456369.773327097</v>
      </c>
      <c r="M97" s="660"/>
      <c r="N97" s="660"/>
      <c r="O97" s="660">
        <f t="shared" si="8"/>
        <v>76183187.867291078</v>
      </c>
      <c r="P97" s="660"/>
      <c r="Q97" s="660"/>
      <c r="S97" s="6" t="s">
        <v>450</v>
      </c>
      <c r="T97" s="225">
        <v>44</v>
      </c>
      <c r="U97" s="252">
        <f t="shared" si="1"/>
        <v>6024.00691612424</v>
      </c>
      <c r="V97" s="47">
        <f t="shared" si="2"/>
        <v>5116392.814900971</v>
      </c>
    </row>
    <row r="98" spans="2:23" ht="20.149999999999999" customHeight="1" x14ac:dyDescent="0.35">
      <c r="B98" s="295" t="str">
        <f>UPPER(D7)&amp;"'S HIGHER EDUCATION &amp; MARRIAGE GOAL"</f>
        <v>SAHIL'S HIGHER EDUCATION &amp; MARRIAGE GOAL</v>
      </c>
      <c r="C98" s="295"/>
      <c r="D98" s="295"/>
      <c r="E98" s="295"/>
      <c r="F98" s="295"/>
      <c r="G98" s="295"/>
      <c r="H98" s="295"/>
      <c r="I98" s="295"/>
      <c r="J98" s="295"/>
      <c r="K98" s="295"/>
      <c r="L98" s="295"/>
      <c r="T98" s="225">
        <v>45</v>
      </c>
      <c r="U98" s="252">
        <f t="shared" si="1"/>
        <v>6626.4076077366644</v>
      </c>
      <c r="V98" s="47">
        <f t="shared" si="2"/>
        <v>5814955.9715531608</v>
      </c>
    </row>
    <row r="99" spans="2:23" ht="20.149999999999999" customHeight="1" x14ac:dyDescent="0.35">
      <c r="B99" s="295"/>
      <c r="C99" s="295"/>
      <c r="D99" s="295"/>
      <c r="E99" s="295"/>
      <c r="F99" s="295"/>
      <c r="G99" s="295"/>
      <c r="H99" s="295"/>
      <c r="I99" s="295"/>
      <c r="J99" s="295"/>
      <c r="K99" s="295"/>
      <c r="L99" s="295"/>
      <c r="T99" s="225">
        <v>46</v>
      </c>
      <c r="U99" s="252">
        <f t="shared" si="1"/>
        <v>7289.0483685103318</v>
      </c>
      <c r="V99" s="47">
        <f t="shared" si="2"/>
        <v>6605806.3088900214</v>
      </c>
    </row>
    <row r="100" spans="2:23" ht="20.149999999999999" customHeight="1" x14ac:dyDescent="0.35">
      <c r="B100" s="171" t="s">
        <v>451</v>
      </c>
      <c r="C100" s="254"/>
      <c r="D100" s="143"/>
      <c r="E100" s="143"/>
      <c r="F100" s="200">
        <v>0.08</v>
      </c>
      <c r="G100" s="144" t="s">
        <v>452</v>
      </c>
      <c r="H100" s="255"/>
      <c r="I100" s="143"/>
      <c r="J100" s="143"/>
      <c r="K100" s="200">
        <v>0.1</v>
      </c>
      <c r="L100" s="7" t="s">
        <v>453</v>
      </c>
      <c r="M100" s="224"/>
      <c r="N100" s="200">
        <v>0.12</v>
      </c>
      <c r="O100" s="7" t="s">
        <v>46</v>
      </c>
      <c r="P100" s="229"/>
      <c r="Q100" s="200">
        <v>0.08</v>
      </c>
      <c r="S100" s="256" t="s">
        <v>223</v>
      </c>
      <c r="T100" s="225">
        <v>47</v>
      </c>
      <c r="U100" s="252">
        <f t="shared" si="1"/>
        <v>8017.9532053613657</v>
      </c>
      <c r="V100" s="47">
        <f t="shared" si="2"/>
        <v>7500864.2487823535</v>
      </c>
    </row>
    <row r="101" spans="2:23" ht="20.149999999999999" customHeight="1" x14ac:dyDescent="0.35">
      <c r="S101" s="77">
        <f>H7</f>
        <v>7</v>
      </c>
      <c r="T101" s="225">
        <v>48</v>
      </c>
      <c r="U101" s="252">
        <f t="shared" si="1"/>
        <v>8819.748525897503</v>
      </c>
      <c r="V101" s="47">
        <f t="shared" si="2"/>
        <v>8513565.2597443182</v>
      </c>
    </row>
    <row r="102" spans="2:23" ht="20.149999999999999" customHeight="1" x14ac:dyDescent="0.35">
      <c r="F102" s="226" t="s">
        <v>34</v>
      </c>
      <c r="G102" s="742" t="s">
        <v>442</v>
      </c>
      <c r="H102" s="743"/>
      <c r="I102" s="744"/>
      <c r="J102" s="662" t="s">
        <v>415</v>
      </c>
      <c r="K102" s="662"/>
      <c r="L102" s="662" t="s">
        <v>341</v>
      </c>
      <c r="M102" s="662"/>
      <c r="N102" s="664" t="s">
        <v>342</v>
      </c>
      <c r="O102" s="664"/>
      <c r="P102" s="662" t="s">
        <v>343</v>
      </c>
      <c r="Q102" s="663"/>
      <c r="T102" s="225">
        <v>49</v>
      </c>
      <c r="U102" s="252">
        <f t="shared" si="1"/>
        <v>9701.7233784872533</v>
      </c>
      <c r="V102" s="47">
        <f t="shared" si="2"/>
        <v>9659050.1221325267</v>
      </c>
    </row>
    <row r="103" spans="2:23" ht="20.149999999999999" customHeight="1" x14ac:dyDescent="0.35">
      <c r="F103" s="83">
        <v>15</v>
      </c>
      <c r="G103" s="728" t="s">
        <v>454</v>
      </c>
      <c r="H103" s="728"/>
      <c r="I103" s="728"/>
      <c r="J103" s="741">
        <v>200000</v>
      </c>
      <c r="K103" s="741"/>
      <c r="L103" s="746">
        <f t="shared" ref="L103" si="10">FV($Q$100,S103,,-J103)</f>
        <v>370186.04205637646</v>
      </c>
      <c r="M103" s="746"/>
      <c r="N103" s="746">
        <f>IF(S103&lt;3,-PV($F$100,S103,,L103),IF(S103&lt;5,-PV($K$100,S103,,L103),-PV($N$100,S103,,L103)))</f>
        <v>149511.93361863581</v>
      </c>
      <c r="O103" s="746"/>
      <c r="P103" s="746">
        <f t="shared" ref="P103" si="11">IFERROR(IF(S103&lt;3,-PMT((1+$F$100)^(1/12)-1,S103*12,,L103),IF(S103&lt;5,-PMT((1+$K$100)^(1/12)-1,S103*12,,L103),-PMT((1+$N$100)^(1/12)-1,S103*12,,L103))),0)</f>
        <v>2379.8823417557628</v>
      </c>
      <c r="Q103" s="746"/>
      <c r="S103" s="77">
        <f>F103-$S$101</f>
        <v>8</v>
      </c>
      <c r="T103" s="225">
        <v>50</v>
      </c>
      <c r="U103" s="252">
        <f t="shared" si="1"/>
        <v>10671.895716335979</v>
      </c>
      <c r="V103" s="47">
        <f t="shared" si="2"/>
        <v>10954378.871129211</v>
      </c>
      <c r="W103" s="6" t="str">
        <f>IFERROR(VLOOKUP(G103,$T$104:$V$109,3,0),"")</f>
        <v>Upto Graduation</v>
      </c>
    </row>
    <row r="104" spans="2:23" ht="20.149999999999999" customHeight="1" x14ac:dyDescent="0.35">
      <c r="F104" s="250">
        <f>F103+1</f>
        <v>16</v>
      </c>
      <c r="G104" s="728" t="s">
        <v>459</v>
      </c>
      <c r="H104" s="728"/>
      <c r="I104" s="728"/>
      <c r="J104" s="741">
        <v>500000</v>
      </c>
      <c r="K104" s="741"/>
      <c r="L104" s="745">
        <f t="shared" ref="L104:L118" si="12">FV($Q$100,S104,,-J104)</f>
        <v>999502.31355221651</v>
      </c>
      <c r="M104" s="745"/>
      <c r="N104" s="745">
        <f t="shared" ref="N104:N118" si="13">IF(S104&lt;3,-PV($F$100,S104,,L104),IF(S104&lt;5,-PV($K$100,S104,,L104),-PV($N$100,S104,,L104)))</f>
        <v>360430.55425921135</v>
      </c>
      <c r="O104" s="745"/>
      <c r="P104" s="747">
        <f t="shared" ref="P104:P118" si="14">IFERROR(IF(S104&lt;3,-PMT((1+$F$100)^(1/12)-1,S104*12,,L104),IF(S104&lt;5,-PMT((1+$K$100)^(1/12)-1,S104*12,,L104),-PMT((1+$N$100)^(1/12)-1,S104*12,,L104))),0)</f>
        <v>5348.9279317588398</v>
      </c>
      <c r="Q104" s="748"/>
      <c r="S104" s="77">
        <f t="shared" ref="S104:S118" si="15">F104-$S$101</f>
        <v>9</v>
      </c>
      <c r="T104" s="6" t="s">
        <v>454</v>
      </c>
      <c r="V104" s="6" t="s">
        <v>460</v>
      </c>
      <c r="W104" s="6" t="str">
        <f t="shared" ref="W104:W118" si="16">IFERROR(VLOOKUP(G104,$T$104:$V$109,3,0),"")</f>
        <v>Upto Graduation</v>
      </c>
    </row>
    <row r="105" spans="2:23" ht="20.149999999999999" customHeight="1" x14ac:dyDescent="0.35">
      <c r="F105" s="83">
        <f>F104+1</f>
        <v>17</v>
      </c>
      <c r="G105" s="728"/>
      <c r="H105" s="728"/>
      <c r="I105" s="728"/>
      <c r="J105" s="741"/>
      <c r="K105" s="741"/>
      <c r="L105" s="746">
        <f t="shared" si="12"/>
        <v>0</v>
      </c>
      <c r="M105" s="746"/>
      <c r="N105" s="746">
        <f t="shared" si="13"/>
        <v>0</v>
      </c>
      <c r="O105" s="746"/>
      <c r="P105" s="749">
        <f t="shared" si="14"/>
        <v>0</v>
      </c>
      <c r="Q105" s="750"/>
      <c r="S105" s="77">
        <f t="shared" si="15"/>
        <v>10</v>
      </c>
      <c r="T105" s="6" t="s">
        <v>458</v>
      </c>
      <c r="V105" s="6" t="s">
        <v>460</v>
      </c>
      <c r="W105" s="6" t="str">
        <f t="shared" si="16"/>
        <v/>
      </c>
    </row>
    <row r="106" spans="2:23" ht="20.149999999999999" customHeight="1" x14ac:dyDescent="0.35">
      <c r="F106" s="250">
        <f t="shared" ref="F106:F115" si="17">F105+1</f>
        <v>18</v>
      </c>
      <c r="G106" s="728" t="s">
        <v>455</v>
      </c>
      <c r="H106" s="728"/>
      <c r="I106" s="728"/>
      <c r="J106" s="741">
        <v>1000000</v>
      </c>
      <c r="K106" s="741"/>
      <c r="L106" s="745">
        <f t="shared" si="12"/>
        <v>2331638.9970546109</v>
      </c>
      <c r="M106" s="745"/>
      <c r="N106" s="745">
        <f t="shared" si="13"/>
        <v>670290.49503817607</v>
      </c>
      <c r="O106" s="745"/>
      <c r="P106" s="747">
        <f t="shared" si="14"/>
        <v>8926.3640841016531</v>
      </c>
      <c r="Q106" s="748"/>
      <c r="S106" s="77">
        <f t="shared" si="15"/>
        <v>11</v>
      </c>
      <c r="T106" s="6" t="s">
        <v>459</v>
      </c>
      <c r="V106" s="6" t="s">
        <v>460</v>
      </c>
      <c r="W106" s="6" t="str">
        <f t="shared" si="16"/>
        <v>Upto Graduation</v>
      </c>
    </row>
    <row r="107" spans="2:23" ht="20.149999999999999" customHeight="1" x14ac:dyDescent="0.35">
      <c r="F107" s="83">
        <f t="shared" si="17"/>
        <v>19</v>
      </c>
      <c r="G107" s="728"/>
      <c r="H107" s="728"/>
      <c r="I107" s="728"/>
      <c r="J107" s="741"/>
      <c r="K107" s="741"/>
      <c r="L107" s="746">
        <f t="shared" si="12"/>
        <v>0</v>
      </c>
      <c r="M107" s="746"/>
      <c r="N107" s="746">
        <f t="shared" si="13"/>
        <v>0</v>
      </c>
      <c r="O107" s="746"/>
      <c r="P107" s="749">
        <f t="shared" si="14"/>
        <v>0</v>
      </c>
      <c r="Q107" s="750"/>
      <c r="S107" s="77">
        <f t="shared" si="15"/>
        <v>12</v>
      </c>
      <c r="T107" s="6" t="s">
        <v>455</v>
      </c>
      <c r="V107" s="6" t="s">
        <v>460</v>
      </c>
      <c r="W107" s="6" t="str">
        <f t="shared" si="16"/>
        <v/>
      </c>
    </row>
    <row r="108" spans="2:23" ht="20.149999999999999" customHeight="1" x14ac:dyDescent="0.35">
      <c r="F108" s="250">
        <f t="shared" si="17"/>
        <v>20</v>
      </c>
      <c r="G108" s="728"/>
      <c r="H108" s="728"/>
      <c r="I108" s="728"/>
      <c r="J108" s="741"/>
      <c r="K108" s="741"/>
      <c r="L108" s="745">
        <f t="shared" si="12"/>
        <v>0</v>
      </c>
      <c r="M108" s="745"/>
      <c r="N108" s="745">
        <f t="shared" si="13"/>
        <v>0</v>
      </c>
      <c r="O108" s="745"/>
      <c r="P108" s="747">
        <f t="shared" si="14"/>
        <v>0</v>
      </c>
      <c r="Q108" s="748"/>
      <c r="S108" s="77">
        <f t="shared" si="15"/>
        <v>13</v>
      </c>
      <c r="T108" s="6" t="s">
        <v>456</v>
      </c>
      <c r="V108" s="6" t="s">
        <v>456</v>
      </c>
      <c r="W108" s="6" t="str">
        <f t="shared" si="16"/>
        <v/>
      </c>
    </row>
    <row r="109" spans="2:23" ht="20.149999999999999" customHeight="1" x14ac:dyDescent="0.35">
      <c r="F109" s="83">
        <f t="shared" si="17"/>
        <v>21</v>
      </c>
      <c r="G109" s="728"/>
      <c r="H109" s="728"/>
      <c r="I109" s="728"/>
      <c r="J109" s="741"/>
      <c r="K109" s="741"/>
      <c r="L109" s="746">
        <f t="shared" si="12"/>
        <v>0</v>
      </c>
      <c r="M109" s="746"/>
      <c r="N109" s="746">
        <f t="shared" si="13"/>
        <v>0</v>
      </c>
      <c r="O109" s="746"/>
      <c r="P109" s="749">
        <f t="shared" si="14"/>
        <v>0</v>
      </c>
      <c r="Q109" s="750"/>
      <c r="S109" s="77">
        <f t="shared" si="15"/>
        <v>14</v>
      </c>
      <c r="T109" s="6" t="s">
        <v>457</v>
      </c>
      <c r="V109" s="6" t="s">
        <v>457</v>
      </c>
      <c r="W109" s="6" t="str">
        <f t="shared" si="16"/>
        <v/>
      </c>
    </row>
    <row r="110" spans="2:23" ht="20.149999999999999" customHeight="1" x14ac:dyDescent="0.35">
      <c r="F110" s="250">
        <f t="shared" si="17"/>
        <v>22</v>
      </c>
      <c r="G110" s="728" t="s">
        <v>456</v>
      </c>
      <c r="H110" s="728"/>
      <c r="I110" s="728"/>
      <c r="J110" s="741">
        <v>1000000</v>
      </c>
      <c r="K110" s="741"/>
      <c r="L110" s="745">
        <f t="shared" si="12"/>
        <v>3172169.1141982717</v>
      </c>
      <c r="M110" s="745"/>
      <c r="N110" s="745">
        <f t="shared" si="13"/>
        <v>579543.43726179108</v>
      </c>
      <c r="O110" s="745"/>
      <c r="P110" s="747">
        <f t="shared" si="14"/>
        <v>6728.425935356232</v>
      </c>
      <c r="Q110" s="748"/>
      <c r="S110" s="77">
        <f t="shared" si="15"/>
        <v>15</v>
      </c>
      <c r="W110" s="6" t="str">
        <f t="shared" si="16"/>
        <v>Post Graduation</v>
      </c>
    </row>
    <row r="111" spans="2:23" ht="20.149999999999999" customHeight="1" x14ac:dyDescent="0.35">
      <c r="F111" s="83">
        <f t="shared" si="17"/>
        <v>23</v>
      </c>
      <c r="G111" s="728"/>
      <c r="H111" s="728"/>
      <c r="I111" s="728"/>
      <c r="J111" s="741"/>
      <c r="K111" s="741"/>
      <c r="L111" s="746">
        <f t="shared" si="12"/>
        <v>0</v>
      </c>
      <c r="M111" s="746"/>
      <c r="N111" s="746">
        <f t="shared" si="13"/>
        <v>0</v>
      </c>
      <c r="O111" s="746"/>
      <c r="P111" s="749">
        <f t="shared" si="14"/>
        <v>0</v>
      </c>
      <c r="Q111" s="750"/>
      <c r="S111" s="77">
        <f t="shared" si="15"/>
        <v>16</v>
      </c>
      <c r="W111" s="6" t="str">
        <f t="shared" si="16"/>
        <v/>
      </c>
    </row>
    <row r="112" spans="2:23" ht="20.149999999999999" customHeight="1" x14ac:dyDescent="0.35">
      <c r="F112" s="250">
        <f t="shared" si="17"/>
        <v>24</v>
      </c>
      <c r="G112" s="728"/>
      <c r="H112" s="728"/>
      <c r="I112" s="728"/>
      <c r="J112" s="741"/>
      <c r="K112" s="741"/>
      <c r="L112" s="745">
        <f t="shared" si="12"/>
        <v>0</v>
      </c>
      <c r="M112" s="745"/>
      <c r="N112" s="745">
        <f t="shared" si="13"/>
        <v>0</v>
      </c>
      <c r="O112" s="745"/>
      <c r="P112" s="747">
        <f t="shared" si="14"/>
        <v>0</v>
      </c>
      <c r="Q112" s="748"/>
      <c r="S112" s="77">
        <f t="shared" si="15"/>
        <v>17</v>
      </c>
      <c r="W112" s="6" t="str">
        <f t="shared" si="16"/>
        <v/>
      </c>
    </row>
    <row r="113" spans="2:23" ht="20.149999999999999" customHeight="1" x14ac:dyDescent="0.35">
      <c r="F113" s="83">
        <f t="shared" si="17"/>
        <v>25</v>
      </c>
      <c r="G113" s="728"/>
      <c r="H113" s="728"/>
      <c r="I113" s="728"/>
      <c r="J113" s="741"/>
      <c r="K113" s="741"/>
      <c r="L113" s="746">
        <f t="shared" si="12"/>
        <v>0</v>
      </c>
      <c r="M113" s="746"/>
      <c r="N113" s="746">
        <f t="shared" si="13"/>
        <v>0</v>
      </c>
      <c r="O113" s="746"/>
      <c r="P113" s="749">
        <f t="shared" si="14"/>
        <v>0</v>
      </c>
      <c r="Q113" s="750"/>
      <c r="S113" s="77">
        <f t="shared" si="15"/>
        <v>18</v>
      </c>
      <c r="W113" s="6" t="str">
        <f t="shared" si="16"/>
        <v/>
      </c>
    </row>
    <row r="114" spans="2:23" ht="20.149999999999999" customHeight="1" x14ac:dyDescent="0.35">
      <c r="F114" s="250">
        <f t="shared" si="17"/>
        <v>26</v>
      </c>
      <c r="G114" s="728" t="s">
        <v>457</v>
      </c>
      <c r="H114" s="728"/>
      <c r="I114" s="728"/>
      <c r="J114" s="741">
        <v>1500000</v>
      </c>
      <c r="K114" s="741"/>
      <c r="L114" s="745">
        <f t="shared" si="12"/>
        <v>6473551.5886795931</v>
      </c>
      <c r="M114" s="745"/>
      <c r="N114" s="745">
        <f t="shared" si="13"/>
        <v>751623.20999512752</v>
      </c>
      <c r="O114" s="745"/>
      <c r="P114" s="747">
        <f t="shared" si="14"/>
        <v>8068.8445368764833</v>
      </c>
      <c r="Q114" s="748"/>
      <c r="S114" s="77">
        <f t="shared" si="15"/>
        <v>19</v>
      </c>
      <c r="W114" s="6" t="str">
        <f t="shared" si="16"/>
        <v>Marriage</v>
      </c>
    </row>
    <row r="115" spans="2:23" ht="20.149999999999999" customHeight="1" x14ac:dyDescent="0.35">
      <c r="F115" s="83">
        <f t="shared" si="17"/>
        <v>27</v>
      </c>
      <c r="G115" s="728"/>
      <c r="H115" s="728"/>
      <c r="I115" s="728"/>
      <c r="J115" s="741"/>
      <c r="K115" s="741"/>
      <c r="L115" s="746">
        <f t="shared" si="12"/>
        <v>0</v>
      </c>
      <c r="M115" s="746"/>
      <c r="N115" s="746">
        <f t="shared" si="13"/>
        <v>0</v>
      </c>
      <c r="O115" s="746"/>
      <c r="P115" s="749">
        <f t="shared" si="14"/>
        <v>0</v>
      </c>
      <c r="Q115" s="750"/>
      <c r="S115" s="77">
        <f t="shared" si="15"/>
        <v>20</v>
      </c>
      <c r="W115" s="6" t="str">
        <f t="shared" si="16"/>
        <v/>
      </c>
    </row>
    <row r="116" spans="2:23" ht="20.149999999999999" customHeight="1" x14ac:dyDescent="0.35">
      <c r="F116" s="250">
        <f t="shared" ref="F116:F118" si="18">F115+1</f>
        <v>28</v>
      </c>
      <c r="G116" s="728"/>
      <c r="H116" s="728"/>
      <c r="I116" s="728"/>
      <c r="J116" s="741"/>
      <c r="K116" s="741"/>
      <c r="L116" s="745">
        <f t="shared" si="12"/>
        <v>0</v>
      </c>
      <c r="M116" s="745"/>
      <c r="N116" s="745">
        <f t="shared" si="13"/>
        <v>0</v>
      </c>
      <c r="O116" s="745"/>
      <c r="P116" s="747">
        <f t="shared" si="14"/>
        <v>0</v>
      </c>
      <c r="Q116" s="748"/>
      <c r="S116" s="77">
        <f t="shared" si="15"/>
        <v>21</v>
      </c>
      <c r="W116" s="6" t="str">
        <f t="shared" si="16"/>
        <v/>
      </c>
    </row>
    <row r="117" spans="2:23" ht="20.149999999999999" customHeight="1" x14ac:dyDescent="0.35">
      <c r="F117" s="83">
        <f t="shared" si="18"/>
        <v>29</v>
      </c>
      <c r="G117" s="728"/>
      <c r="H117" s="728"/>
      <c r="I117" s="728"/>
      <c r="J117" s="741"/>
      <c r="K117" s="741"/>
      <c r="L117" s="746">
        <f t="shared" si="12"/>
        <v>0</v>
      </c>
      <c r="M117" s="746"/>
      <c r="N117" s="746">
        <f t="shared" si="13"/>
        <v>0</v>
      </c>
      <c r="O117" s="746"/>
      <c r="P117" s="749">
        <f t="shared" si="14"/>
        <v>0</v>
      </c>
      <c r="Q117" s="750"/>
      <c r="S117" s="77">
        <f t="shared" si="15"/>
        <v>22</v>
      </c>
      <c r="W117" s="6" t="str">
        <f t="shared" si="16"/>
        <v/>
      </c>
    </row>
    <row r="118" spans="2:23" ht="20.149999999999999" customHeight="1" x14ac:dyDescent="0.35">
      <c r="F118" s="250">
        <f t="shared" si="18"/>
        <v>30</v>
      </c>
      <c r="G118" s="728"/>
      <c r="H118" s="728"/>
      <c r="I118" s="728"/>
      <c r="J118" s="741"/>
      <c r="K118" s="741"/>
      <c r="L118" s="745">
        <f t="shared" si="12"/>
        <v>0</v>
      </c>
      <c r="M118" s="745"/>
      <c r="N118" s="745">
        <f t="shared" si="13"/>
        <v>0</v>
      </c>
      <c r="O118" s="745"/>
      <c r="P118" s="747">
        <f t="shared" si="14"/>
        <v>0</v>
      </c>
      <c r="Q118" s="748"/>
      <c r="S118" s="77">
        <f t="shared" si="15"/>
        <v>23</v>
      </c>
      <c r="W118" s="6" t="str">
        <f t="shared" si="16"/>
        <v/>
      </c>
    </row>
    <row r="119" spans="2:23" ht="20.149999999999999" customHeight="1" x14ac:dyDescent="0.35">
      <c r="L119" s="751" t="s">
        <v>74</v>
      </c>
      <c r="M119" s="662"/>
      <c r="N119" s="752">
        <f>SUM(N103:O118)</f>
        <v>2511399.6301729418</v>
      </c>
      <c r="O119" s="753"/>
      <c r="P119" s="752">
        <f>SUM(P103:Q118)</f>
        <v>31452.44482984897</v>
      </c>
      <c r="Q119" s="754"/>
    </row>
    <row r="120" spans="2:23" ht="20.149999999999999" customHeight="1" x14ac:dyDescent="0.35"/>
    <row r="121" spans="2:23" ht="20.149999999999999" customHeight="1" x14ac:dyDescent="0.35"/>
    <row r="122" spans="2:23" ht="20.149999999999999" customHeight="1" x14ac:dyDescent="0.35"/>
    <row r="123" spans="2:23" ht="20.149999999999999" customHeight="1" x14ac:dyDescent="0.35"/>
    <row r="124" spans="2:23" ht="20.149999999999999" customHeight="1" x14ac:dyDescent="0.35"/>
    <row r="125" spans="2:23" ht="20.149999999999999" customHeight="1" x14ac:dyDescent="0.35"/>
    <row r="126" spans="2:23" ht="20.149999999999999" customHeight="1" x14ac:dyDescent="0.35"/>
    <row r="127" spans="2:23" ht="20.149999999999999" customHeight="1" x14ac:dyDescent="0.35">
      <c r="B127" s="295" t="str">
        <f>UPPER(K7)&amp;"'S HIGHER EDUCATION &amp; MARRIAGE GOAL"</f>
        <v>SNEHA'S HIGHER EDUCATION &amp; MARRIAGE GOAL</v>
      </c>
      <c r="C127" s="295"/>
      <c r="D127" s="295"/>
      <c r="E127" s="295"/>
      <c r="F127" s="295"/>
      <c r="G127" s="295"/>
      <c r="H127" s="295"/>
      <c r="I127" s="295"/>
      <c r="J127" s="295"/>
      <c r="K127" s="295"/>
      <c r="L127" s="295"/>
    </row>
    <row r="128" spans="2:23" ht="20.149999999999999" customHeight="1" x14ac:dyDescent="0.35">
      <c r="B128" s="295"/>
      <c r="C128" s="295"/>
      <c r="D128" s="295"/>
      <c r="E128" s="295"/>
      <c r="F128" s="295"/>
      <c r="G128" s="295"/>
      <c r="H128" s="295"/>
      <c r="I128" s="295"/>
      <c r="J128" s="295"/>
      <c r="K128" s="295"/>
      <c r="L128" s="295"/>
    </row>
    <row r="129" spans="2:23" ht="20.149999999999999" customHeight="1" x14ac:dyDescent="0.35">
      <c r="B129" s="171" t="s">
        <v>451</v>
      </c>
      <c r="C129" s="254"/>
      <c r="D129" s="143"/>
      <c r="E129" s="143"/>
      <c r="F129" s="200">
        <v>0.08</v>
      </c>
      <c r="G129" s="144" t="s">
        <v>452</v>
      </c>
      <c r="H129" s="255"/>
      <c r="I129" s="143"/>
      <c r="J129" s="143"/>
      <c r="K129" s="200">
        <v>0.1</v>
      </c>
      <c r="L129" s="7" t="s">
        <v>453</v>
      </c>
      <c r="M129" s="224"/>
      <c r="N129" s="200">
        <v>0.12</v>
      </c>
      <c r="O129" s="7" t="s">
        <v>46</v>
      </c>
      <c r="P129" s="229"/>
      <c r="Q129" s="200">
        <v>0.08</v>
      </c>
      <c r="S129" s="256" t="s">
        <v>223</v>
      </c>
    </row>
    <row r="130" spans="2:23" ht="20.149999999999999" customHeight="1" x14ac:dyDescent="0.35">
      <c r="S130" s="77">
        <f>P7</f>
        <v>5</v>
      </c>
    </row>
    <row r="131" spans="2:23" ht="20.149999999999999" customHeight="1" x14ac:dyDescent="0.35">
      <c r="F131" s="226" t="s">
        <v>34</v>
      </c>
      <c r="G131" s="742" t="s">
        <v>442</v>
      </c>
      <c r="H131" s="743"/>
      <c r="I131" s="744"/>
      <c r="J131" s="662" t="s">
        <v>415</v>
      </c>
      <c r="K131" s="662"/>
      <c r="L131" s="662" t="s">
        <v>341</v>
      </c>
      <c r="M131" s="662"/>
      <c r="N131" s="664" t="s">
        <v>342</v>
      </c>
      <c r="O131" s="664"/>
      <c r="P131" s="662" t="s">
        <v>343</v>
      </c>
      <c r="Q131" s="663"/>
    </row>
    <row r="132" spans="2:23" ht="20.149999999999999" customHeight="1" x14ac:dyDescent="0.35">
      <c r="F132" s="83">
        <v>15</v>
      </c>
      <c r="G132" s="728" t="s">
        <v>454</v>
      </c>
      <c r="H132" s="728"/>
      <c r="I132" s="728"/>
      <c r="J132" s="741">
        <v>200000</v>
      </c>
      <c r="K132" s="741"/>
      <c r="L132" s="746">
        <f>FV($Q$129,S132,,-J132)</f>
        <v>431784.99945455755</v>
      </c>
      <c r="M132" s="746"/>
      <c r="N132" s="746">
        <f>IF(S132&lt;3,-PV($F$129,S132,,L132),IF(S132&lt;5,-PV($K$129,S132,,L132),-PV($N$129,S132,,L132)))</f>
        <v>139023.21378569581</v>
      </c>
      <c r="O132" s="746"/>
      <c r="P132" s="746">
        <f t="shared" ref="P132" si="19">IFERROR(IF(S132&lt;3,-PMT((1+$F$129)^(1/12)-1,S132*12,,L132),IF(S132&lt;5,-PMT((1+$K$129)^(1/12)-1,S132*12,,L132),-PMT((1+$N$129)^(1/12)-1,S132*12,,L132))),0)</f>
        <v>1945.5905871320083</v>
      </c>
      <c r="Q132" s="746"/>
      <c r="S132" s="77">
        <f>F132-$S$130</f>
        <v>10</v>
      </c>
      <c r="W132" s="6" t="str">
        <f>IFERROR(VLOOKUP(G132,$T$104:$V$109,3,0),"")</f>
        <v>Upto Graduation</v>
      </c>
    </row>
    <row r="133" spans="2:23" ht="20.149999999999999" customHeight="1" x14ac:dyDescent="0.35">
      <c r="F133" s="250">
        <f>F132+1</f>
        <v>16</v>
      </c>
      <c r="G133" s="728" t="s">
        <v>459</v>
      </c>
      <c r="H133" s="728"/>
      <c r="I133" s="728"/>
      <c r="J133" s="741">
        <v>500000</v>
      </c>
      <c r="K133" s="741"/>
      <c r="L133" s="745">
        <f t="shared" ref="L133:L147" si="20">FV($Q$129,S133,,-J133)</f>
        <v>1165819.4985273054</v>
      </c>
      <c r="M133" s="745"/>
      <c r="N133" s="745">
        <f t="shared" ref="N133:N147" si="21">IF(S133&lt;3,-PV($F$129,S133,,L133),IF(S133&lt;5,-PV($K$129,S133,,L133),-PV($N$129,S133,,L133)))</f>
        <v>335145.24751908804</v>
      </c>
      <c r="O133" s="745"/>
      <c r="P133" s="747">
        <f t="shared" ref="P133:P147" si="22">IFERROR(IF(S133&lt;3,-PMT((1+$F$129)^(1/12)-1,S133*12,,L133),IF(S133&lt;5,-PMT((1+$K$129)^(1/12)-1,S133*12,,L133),-PMT((1+$N$129)^(1/12)-1,S133*12,,L133))),0)</f>
        <v>4463.1820420508266</v>
      </c>
      <c r="Q133" s="748"/>
      <c r="S133" s="77">
        <f t="shared" ref="S133:S147" si="23">F133-$S$130</f>
        <v>11</v>
      </c>
      <c r="W133" s="6" t="str">
        <f t="shared" ref="W133:W147" si="24">IFERROR(VLOOKUP(G133,$T$104:$V$109,3,0),"")</f>
        <v>Upto Graduation</v>
      </c>
    </row>
    <row r="134" spans="2:23" ht="20.149999999999999" customHeight="1" x14ac:dyDescent="0.35">
      <c r="F134" s="83">
        <f>F133+1</f>
        <v>17</v>
      </c>
      <c r="G134" s="728"/>
      <c r="H134" s="728"/>
      <c r="I134" s="728"/>
      <c r="J134" s="741"/>
      <c r="K134" s="741"/>
      <c r="L134" s="746">
        <f t="shared" si="20"/>
        <v>0</v>
      </c>
      <c r="M134" s="746"/>
      <c r="N134" s="746">
        <f t="shared" si="21"/>
        <v>0</v>
      </c>
      <c r="O134" s="746"/>
      <c r="P134" s="749">
        <f t="shared" si="22"/>
        <v>0</v>
      </c>
      <c r="Q134" s="750"/>
      <c r="S134" s="77">
        <f t="shared" si="23"/>
        <v>12</v>
      </c>
      <c r="W134" s="6" t="str">
        <f t="shared" si="24"/>
        <v/>
      </c>
    </row>
    <row r="135" spans="2:23" ht="20.149999999999999" customHeight="1" x14ac:dyDescent="0.35">
      <c r="F135" s="250">
        <f t="shared" ref="F135:F147" si="25">F134+1</f>
        <v>18</v>
      </c>
      <c r="G135" s="728" t="s">
        <v>455</v>
      </c>
      <c r="H135" s="728"/>
      <c r="I135" s="728"/>
      <c r="J135" s="741">
        <v>1000000</v>
      </c>
      <c r="K135" s="741"/>
      <c r="L135" s="745">
        <f t="shared" si="20"/>
        <v>2719623.7261644984</v>
      </c>
      <c r="M135" s="745"/>
      <c r="N135" s="745">
        <f t="shared" si="21"/>
        <v>623267.56490156939</v>
      </c>
      <c r="O135" s="745"/>
      <c r="P135" s="747">
        <f t="shared" si="22"/>
        <v>7672.364872147542</v>
      </c>
      <c r="Q135" s="748"/>
      <c r="S135" s="77">
        <f t="shared" si="23"/>
        <v>13</v>
      </c>
      <c r="W135" s="6" t="str">
        <f t="shared" si="24"/>
        <v>Upto Graduation</v>
      </c>
    </row>
    <row r="136" spans="2:23" ht="20.149999999999999" customHeight="1" x14ac:dyDescent="0.35">
      <c r="F136" s="83">
        <f t="shared" si="25"/>
        <v>19</v>
      </c>
      <c r="G136" s="728"/>
      <c r="H136" s="728"/>
      <c r="I136" s="728"/>
      <c r="J136" s="741"/>
      <c r="K136" s="741"/>
      <c r="L136" s="746">
        <f t="shared" si="20"/>
        <v>0</v>
      </c>
      <c r="M136" s="746"/>
      <c r="N136" s="746">
        <f t="shared" si="21"/>
        <v>0</v>
      </c>
      <c r="O136" s="746"/>
      <c r="P136" s="749">
        <f t="shared" si="22"/>
        <v>0</v>
      </c>
      <c r="Q136" s="750"/>
      <c r="S136" s="77">
        <f t="shared" si="23"/>
        <v>14</v>
      </c>
      <c r="W136" s="6" t="str">
        <f t="shared" si="24"/>
        <v/>
      </c>
    </row>
    <row r="137" spans="2:23" ht="20.149999999999999" customHeight="1" x14ac:dyDescent="0.35">
      <c r="F137" s="250">
        <f t="shared" si="25"/>
        <v>20</v>
      </c>
      <c r="G137" s="728"/>
      <c r="H137" s="728"/>
      <c r="I137" s="728"/>
      <c r="J137" s="741"/>
      <c r="K137" s="741"/>
      <c r="L137" s="745">
        <f t="shared" si="20"/>
        <v>0</v>
      </c>
      <c r="M137" s="745"/>
      <c r="N137" s="745">
        <f t="shared" si="21"/>
        <v>0</v>
      </c>
      <c r="O137" s="745"/>
      <c r="P137" s="747">
        <f t="shared" si="22"/>
        <v>0</v>
      </c>
      <c r="Q137" s="748"/>
      <c r="S137" s="77">
        <f t="shared" si="23"/>
        <v>15</v>
      </c>
      <c r="W137" s="6" t="str">
        <f t="shared" si="24"/>
        <v/>
      </c>
    </row>
    <row r="138" spans="2:23" ht="20.149999999999999" customHeight="1" x14ac:dyDescent="0.35">
      <c r="F138" s="83">
        <f t="shared" si="25"/>
        <v>21</v>
      </c>
      <c r="G138" s="728"/>
      <c r="H138" s="728"/>
      <c r="I138" s="728"/>
      <c r="J138" s="741"/>
      <c r="K138" s="741"/>
      <c r="L138" s="746">
        <f t="shared" si="20"/>
        <v>0</v>
      </c>
      <c r="M138" s="746"/>
      <c r="N138" s="746">
        <f t="shared" si="21"/>
        <v>0</v>
      </c>
      <c r="O138" s="746"/>
      <c r="P138" s="749">
        <f t="shared" si="22"/>
        <v>0</v>
      </c>
      <c r="Q138" s="750"/>
      <c r="S138" s="77">
        <f t="shared" si="23"/>
        <v>16</v>
      </c>
      <c r="W138" s="6" t="str">
        <f t="shared" si="24"/>
        <v/>
      </c>
    </row>
    <row r="139" spans="2:23" ht="20.149999999999999" customHeight="1" x14ac:dyDescent="0.35">
      <c r="F139" s="250">
        <f t="shared" si="25"/>
        <v>22</v>
      </c>
      <c r="G139" s="728" t="s">
        <v>456</v>
      </c>
      <c r="H139" s="728"/>
      <c r="I139" s="728"/>
      <c r="J139" s="741">
        <v>1000000</v>
      </c>
      <c r="K139" s="741"/>
      <c r="L139" s="745">
        <f t="shared" si="20"/>
        <v>3700018.0548008638</v>
      </c>
      <c r="M139" s="745"/>
      <c r="N139" s="745">
        <f t="shared" si="21"/>
        <v>538886.69102531322</v>
      </c>
      <c r="O139" s="745"/>
      <c r="P139" s="747">
        <f t="shared" si="22"/>
        <v>5985.0767909883589</v>
      </c>
      <c r="Q139" s="748"/>
      <c r="S139" s="77">
        <f t="shared" si="23"/>
        <v>17</v>
      </c>
      <c r="W139" s="6" t="str">
        <f t="shared" si="24"/>
        <v>Post Graduation</v>
      </c>
    </row>
    <row r="140" spans="2:23" ht="20.149999999999999" customHeight="1" x14ac:dyDescent="0.35">
      <c r="F140" s="83">
        <f t="shared" si="25"/>
        <v>23</v>
      </c>
      <c r="G140" s="728"/>
      <c r="H140" s="728"/>
      <c r="I140" s="728"/>
      <c r="J140" s="741"/>
      <c r="K140" s="741"/>
      <c r="L140" s="746">
        <f t="shared" si="20"/>
        <v>0</v>
      </c>
      <c r="M140" s="746"/>
      <c r="N140" s="746">
        <f t="shared" si="21"/>
        <v>0</v>
      </c>
      <c r="O140" s="746"/>
      <c r="P140" s="749">
        <f t="shared" si="22"/>
        <v>0</v>
      </c>
      <c r="Q140" s="750"/>
      <c r="S140" s="77">
        <f t="shared" si="23"/>
        <v>18</v>
      </c>
      <c r="W140" s="6" t="str">
        <f t="shared" si="24"/>
        <v/>
      </c>
    </row>
    <row r="141" spans="2:23" ht="20.149999999999999" customHeight="1" x14ac:dyDescent="0.35">
      <c r="F141" s="250">
        <f t="shared" si="25"/>
        <v>24</v>
      </c>
      <c r="G141" s="728"/>
      <c r="H141" s="728"/>
      <c r="I141" s="728"/>
      <c r="J141" s="741"/>
      <c r="K141" s="741"/>
      <c r="L141" s="745">
        <f t="shared" si="20"/>
        <v>0</v>
      </c>
      <c r="M141" s="745"/>
      <c r="N141" s="745">
        <f t="shared" si="21"/>
        <v>0</v>
      </c>
      <c r="O141" s="745"/>
      <c r="P141" s="747">
        <f t="shared" si="22"/>
        <v>0</v>
      </c>
      <c r="Q141" s="748"/>
      <c r="S141" s="77">
        <f t="shared" si="23"/>
        <v>19</v>
      </c>
      <c r="W141" s="6" t="str">
        <f t="shared" si="24"/>
        <v/>
      </c>
    </row>
    <row r="142" spans="2:23" ht="20.149999999999999" customHeight="1" x14ac:dyDescent="0.35">
      <c r="F142" s="83">
        <f t="shared" si="25"/>
        <v>25</v>
      </c>
      <c r="G142" s="728"/>
      <c r="H142" s="728"/>
      <c r="I142" s="728"/>
      <c r="J142" s="741"/>
      <c r="K142" s="741"/>
      <c r="L142" s="746">
        <f t="shared" si="20"/>
        <v>0</v>
      </c>
      <c r="M142" s="746"/>
      <c r="N142" s="746">
        <f t="shared" si="21"/>
        <v>0</v>
      </c>
      <c r="O142" s="746"/>
      <c r="P142" s="749">
        <f t="shared" si="22"/>
        <v>0</v>
      </c>
      <c r="Q142" s="750"/>
      <c r="S142" s="77">
        <f t="shared" si="23"/>
        <v>20</v>
      </c>
      <c r="W142" s="6" t="str">
        <f t="shared" si="24"/>
        <v/>
      </c>
    </row>
    <row r="143" spans="2:23" ht="20.149999999999999" customHeight="1" x14ac:dyDescent="0.35">
      <c r="F143" s="250">
        <f t="shared" si="25"/>
        <v>26</v>
      </c>
      <c r="G143" s="728" t="s">
        <v>457</v>
      </c>
      <c r="H143" s="728"/>
      <c r="I143" s="728"/>
      <c r="J143" s="741">
        <v>1500000</v>
      </c>
      <c r="K143" s="741"/>
      <c r="L143" s="745">
        <f t="shared" si="20"/>
        <v>7550750.5730358772</v>
      </c>
      <c r="M143" s="745"/>
      <c r="N143" s="745">
        <f t="shared" si="21"/>
        <v>698894.54092659184</v>
      </c>
      <c r="O143" s="745"/>
      <c r="P143" s="747">
        <f t="shared" si="22"/>
        <v>7308.1005290435105</v>
      </c>
      <c r="Q143" s="748"/>
      <c r="S143" s="77">
        <f t="shared" si="23"/>
        <v>21</v>
      </c>
      <c r="W143" s="6" t="str">
        <f t="shared" si="24"/>
        <v>Marriage</v>
      </c>
    </row>
    <row r="144" spans="2:23" ht="20.149999999999999" customHeight="1" x14ac:dyDescent="0.35">
      <c r="F144" s="83">
        <f t="shared" si="25"/>
        <v>27</v>
      </c>
      <c r="G144" s="728"/>
      <c r="H144" s="728"/>
      <c r="I144" s="728"/>
      <c r="J144" s="741"/>
      <c r="K144" s="741"/>
      <c r="L144" s="746">
        <f t="shared" si="20"/>
        <v>0</v>
      </c>
      <c r="M144" s="746"/>
      <c r="N144" s="746">
        <f t="shared" si="21"/>
        <v>0</v>
      </c>
      <c r="O144" s="746"/>
      <c r="P144" s="749">
        <f t="shared" si="22"/>
        <v>0</v>
      </c>
      <c r="Q144" s="750"/>
      <c r="S144" s="77">
        <f t="shared" si="23"/>
        <v>22</v>
      </c>
      <c r="W144" s="6" t="str">
        <f t="shared" si="24"/>
        <v/>
      </c>
    </row>
    <row r="145" spans="2:23" ht="20.149999999999999" customHeight="1" x14ac:dyDescent="0.35">
      <c r="F145" s="250">
        <f t="shared" si="25"/>
        <v>28</v>
      </c>
      <c r="G145" s="728"/>
      <c r="H145" s="728"/>
      <c r="I145" s="728"/>
      <c r="J145" s="741"/>
      <c r="K145" s="741"/>
      <c r="L145" s="745">
        <f t="shared" si="20"/>
        <v>0</v>
      </c>
      <c r="M145" s="745"/>
      <c r="N145" s="745">
        <f t="shared" si="21"/>
        <v>0</v>
      </c>
      <c r="O145" s="745"/>
      <c r="P145" s="747">
        <f t="shared" si="22"/>
        <v>0</v>
      </c>
      <c r="Q145" s="748"/>
      <c r="S145" s="77">
        <f t="shared" si="23"/>
        <v>23</v>
      </c>
      <c r="W145" s="6" t="str">
        <f t="shared" si="24"/>
        <v/>
      </c>
    </row>
    <row r="146" spans="2:23" ht="20.149999999999999" customHeight="1" x14ac:dyDescent="0.35">
      <c r="F146" s="83">
        <f t="shared" si="25"/>
        <v>29</v>
      </c>
      <c r="G146" s="728"/>
      <c r="H146" s="728"/>
      <c r="I146" s="728"/>
      <c r="J146" s="741"/>
      <c r="K146" s="741"/>
      <c r="L146" s="746">
        <f t="shared" si="20"/>
        <v>0</v>
      </c>
      <c r="M146" s="746"/>
      <c r="N146" s="746">
        <f t="shared" si="21"/>
        <v>0</v>
      </c>
      <c r="O146" s="746"/>
      <c r="P146" s="749">
        <f t="shared" si="22"/>
        <v>0</v>
      </c>
      <c r="Q146" s="750"/>
      <c r="S146" s="77">
        <f t="shared" si="23"/>
        <v>24</v>
      </c>
      <c r="W146" s="6" t="str">
        <f t="shared" si="24"/>
        <v/>
      </c>
    </row>
    <row r="147" spans="2:23" ht="20.149999999999999" customHeight="1" x14ac:dyDescent="0.35">
      <c r="F147" s="250">
        <f t="shared" si="25"/>
        <v>30</v>
      </c>
      <c r="G147" s="728"/>
      <c r="H147" s="728"/>
      <c r="I147" s="728"/>
      <c r="J147" s="741"/>
      <c r="K147" s="741"/>
      <c r="L147" s="745">
        <f t="shared" si="20"/>
        <v>0</v>
      </c>
      <c r="M147" s="745"/>
      <c r="N147" s="745">
        <f t="shared" si="21"/>
        <v>0</v>
      </c>
      <c r="O147" s="745"/>
      <c r="P147" s="747">
        <f t="shared" si="22"/>
        <v>0</v>
      </c>
      <c r="Q147" s="748"/>
      <c r="S147" s="77">
        <f t="shared" si="23"/>
        <v>25</v>
      </c>
      <c r="W147" s="6" t="str">
        <f t="shared" si="24"/>
        <v/>
      </c>
    </row>
    <row r="148" spans="2:23" ht="20.149999999999999" customHeight="1" x14ac:dyDescent="0.35">
      <c r="L148" s="751" t="s">
        <v>74</v>
      </c>
      <c r="M148" s="662"/>
      <c r="N148" s="752">
        <f>SUM(N132:O147)</f>
        <v>2335217.2581582582</v>
      </c>
      <c r="O148" s="753"/>
      <c r="P148" s="752">
        <f>SUM(P132:Q147)</f>
        <v>27374.314821362244</v>
      </c>
      <c r="Q148" s="754"/>
    </row>
    <row r="149" spans="2:23" ht="20.149999999999999" customHeight="1" x14ac:dyDescent="0.35"/>
    <row r="150" spans="2:23" ht="20.149999999999999" customHeight="1" x14ac:dyDescent="0.35"/>
    <row r="151" spans="2:23" ht="20.149999999999999" customHeight="1" x14ac:dyDescent="0.35"/>
    <row r="152" spans="2:23" ht="20.149999999999999" customHeight="1" x14ac:dyDescent="0.35"/>
    <row r="153" spans="2:23" ht="20.149999999999999" customHeight="1" x14ac:dyDescent="0.35"/>
    <row r="154" spans="2:23" ht="20.149999999999999" customHeight="1" x14ac:dyDescent="0.35"/>
    <row r="155" spans="2:23" ht="20.149999999999999" customHeight="1" x14ac:dyDescent="0.35"/>
    <row r="156" spans="2:23" ht="20.149999999999999" customHeight="1" x14ac:dyDescent="0.35">
      <c r="B156" s="295" t="str">
        <f>UPPER(D8)&amp;"'S HIGHER EDUCATION &amp; MARRIAGE GOAL"</f>
        <v>'S HIGHER EDUCATION &amp; MARRIAGE GOAL</v>
      </c>
      <c r="C156" s="295"/>
      <c r="D156" s="295"/>
      <c r="E156" s="295"/>
      <c r="F156" s="295"/>
      <c r="G156" s="295"/>
      <c r="H156" s="295"/>
      <c r="I156" s="295"/>
      <c r="J156" s="295"/>
      <c r="K156" s="295"/>
      <c r="L156" s="295"/>
    </row>
    <row r="157" spans="2:23" ht="20.149999999999999" customHeight="1" x14ac:dyDescent="0.35">
      <c r="B157" s="295"/>
      <c r="C157" s="295"/>
      <c r="D157" s="295"/>
      <c r="E157" s="295"/>
      <c r="F157" s="295"/>
      <c r="G157" s="295"/>
      <c r="H157" s="295"/>
      <c r="I157" s="295"/>
      <c r="J157" s="295"/>
      <c r="K157" s="295"/>
      <c r="L157" s="295"/>
    </row>
    <row r="158" spans="2:23" ht="20.149999999999999" customHeight="1" x14ac:dyDescent="0.35">
      <c r="B158" s="171" t="s">
        <v>451</v>
      </c>
      <c r="C158" s="254"/>
      <c r="D158" s="143"/>
      <c r="E158" s="143"/>
      <c r="F158" s="200">
        <v>0.08</v>
      </c>
      <c r="G158" s="144" t="s">
        <v>452</v>
      </c>
      <c r="H158" s="255"/>
      <c r="I158" s="143"/>
      <c r="J158" s="143"/>
      <c r="K158" s="200">
        <v>0.1</v>
      </c>
      <c r="L158" s="7" t="s">
        <v>453</v>
      </c>
      <c r="M158" s="224"/>
      <c r="N158" s="200">
        <v>0.12</v>
      </c>
      <c r="O158" s="7" t="s">
        <v>46</v>
      </c>
      <c r="P158" s="229"/>
      <c r="Q158" s="200">
        <v>0.08</v>
      </c>
      <c r="S158" s="256" t="s">
        <v>223</v>
      </c>
    </row>
    <row r="159" spans="2:23" ht="20.149999999999999" customHeight="1" x14ac:dyDescent="0.35">
      <c r="S159" s="77">
        <f>H8</f>
        <v>0</v>
      </c>
    </row>
    <row r="160" spans="2:23" ht="20.149999999999999" customHeight="1" x14ac:dyDescent="0.35">
      <c r="F160" s="226" t="s">
        <v>34</v>
      </c>
      <c r="G160" s="742" t="s">
        <v>442</v>
      </c>
      <c r="H160" s="743"/>
      <c r="I160" s="744"/>
      <c r="J160" s="662" t="s">
        <v>415</v>
      </c>
      <c r="K160" s="662"/>
      <c r="L160" s="662" t="s">
        <v>341</v>
      </c>
      <c r="M160" s="662"/>
      <c r="N160" s="664" t="s">
        <v>342</v>
      </c>
      <c r="O160" s="664"/>
      <c r="P160" s="662" t="s">
        <v>343</v>
      </c>
      <c r="Q160" s="663"/>
    </row>
    <row r="161" spans="6:23" ht="20.149999999999999" customHeight="1" x14ac:dyDescent="0.35">
      <c r="F161" s="83">
        <v>15</v>
      </c>
      <c r="G161" s="728" t="s">
        <v>454</v>
      </c>
      <c r="H161" s="728"/>
      <c r="I161" s="728"/>
      <c r="J161" s="741">
        <v>200000</v>
      </c>
      <c r="K161" s="741"/>
      <c r="L161" s="746">
        <f>FV($Q$158,S161,,-J161)</f>
        <v>634433.82283965428</v>
      </c>
      <c r="M161" s="746"/>
      <c r="N161" s="746">
        <f>IF(S161&lt;3,-PV($F$158,S161,,L161),IF(S161&lt;5,-PV($K$158,S161,,L161),-PV($N$158,S161,,L161)))</f>
        <v>115908.68745235819</v>
      </c>
      <c r="O161" s="746"/>
      <c r="P161" s="746">
        <f t="shared" ref="P161" si="26">IFERROR(IF(S161&lt;3,-PMT((1+$F$158)^(1/12)-1,S161*12,,L161),IF(S161&lt;5,-PMT((1+$K$158)^(1/12)-1,S161*12,,L161),-PMT((1+$N$158)^(1/12)-1,S161*12,,L161))),0)</f>
        <v>1345.6851870712469</v>
      </c>
      <c r="Q161" s="746"/>
      <c r="S161" s="77">
        <f>F161-$S$159</f>
        <v>15</v>
      </c>
      <c r="W161" s="6" t="str">
        <f>IFERROR(VLOOKUP(G161,$T$104:$V$109,3,0),"")</f>
        <v>Upto Graduation</v>
      </c>
    </row>
    <row r="162" spans="6:23" ht="20.149999999999999" customHeight="1" x14ac:dyDescent="0.35">
      <c r="F162" s="250">
        <f>F161+1</f>
        <v>16</v>
      </c>
      <c r="G162" s="728" t="s">
        <v>459</v>
      </c>
      <c r="H162" s="728"/>
      <c r="I162" s="728"/>
      <c r="J162" s="741">
        <v>500000</v>
      </c>
      <c r="K162" s="741"/>
      <c r="L162" s="745">
        <f t="shared" ref="L162:L176" si="27">FV($Q$158,S162,,-J162)</f>
        <v>1712971.3216670665</v>
      </c>
      <c r="M162" s="745"/>
      <c r="N162" s="745">
        <f t="shared" ref="N162:N176" si="28">IF(S162&lt;3,-PV($F$158,S162,,L162),IF(S162&lt;5,-PV($K$158,S162,,L162),-PV($N$158,S162,,L162)))</f>
        <v>279422.72867979202</v>
      </c>
      <c r="O162" s="745"/>
      <c r="P162" s="747">
        <f t="shared" ref="P162:P176" si="29">IFERROR(IF(S162&lt;3,-PMT((1+$F$158)^(1/12)-1,S162*12,,L162),IF(S162&lt;5,-PMT((1+$K$158)^(1/12)-1,S162*12,,L162),-PMT((1+$N$158)^(1/12)-1,S162*12,,L162))),0)</f>
        <v>3168.1838240642728</v>
      </c>
      <c r="Q162" s="748"/>
      <c r="S162" s="77">
        <f t="shared" ref="S162:S176" si="30">F162-$S$159</f>
        <v>16</v>
      </c>
      <c r="W162" s="6" t="str">
        <f t="shared" ref="W162:W176" si="31">IFERROR(VLOOKUP(G162,$T$104:$V$109,3,0),"")</f>
        <v>Upto Graduation</v>
      </c>
    </row>
    <row r="163" spans="6:23" ht="20.149999999999999" customHeight="1" x14ac:dyDescent="0.35">
      <c r="F163" s="83">
        <f>F162+1</f>
        <v>17</v>
      </c>
      <c r="G163" s="728"/>
      <c r="H163" s="728"/>
      <c r="I163" s="728"/>
      <c r="J163" s="741"/>
      <c r="K163" s="741"/>
      <c r="L163" s="746">
        <f t="shared" si="27"/>
        <v>0</v>
      </c>
      <c r="M163" s="746"/>
      <c r="N163" s="746">
        <f t="shared" si="28"/>
        <v>0</v>
      </c>
      <c r="O163" s="746"/>
      <c r="P163" s="749">
        <f t="shared" si="29"/>
        <v>0</v>
      </c>
      <c r="Q163" s="750"/>
      <c r="S163" s="77">
        <f t="shared" si="30"/>
        <v>17</v>
      </c>
      <c r="W163" s="6" t="str">
        <f t="shared" si="31"/>
        <v/>
      </c>
    </row>
    <row r="164" spans="6:23" ht="20.149999999999999" customHeight="1" x14ac:dyDescent="0.35">
      <c r="F164" s="250">
        <f t="shared" ref="F164:F176" si="32">F163+1</f>
        <v>18</v>
      </c>
      <c r="G164" s="728" t="s">
        <v>455</v>
      </c>
      <c r="H164" s="728"/>
      <c r="I164" s="728"/>
      <c r="J164" s="741">
        <v>1000000</v>
      </c>
      <c r="K164" s="741"/>
      <c r="L164" s="745">
        <f t="shared" si="27"/>
        <v>3996019.4991849335</v>
      </c>
      <c r="M164" s="745"/>
      <c r="N164" s="745">
        <f t="shared" si="28"/>
        <v>519640.73777440918</v>
      </c>
      <c r="O164" s="745"/>
      <c r="P164" s="747">
        <f t="shared" si="29"/>
        <v>5667.8020115646486</v>
      </c>
      <c r="Q164" s="748"/>
      <c r="S164" s="77">
        <f t="shared" si="30"/>
        <v>18</v>
      </c>
      <c r="W164" s="6" t="str">
        <f t="shared" si="31"/>
        <v>Upto Graduation</v>
      </c>
    </row>
    <row r="165" spans="6:23" ht="20.149999999999999" customHeight="1" x14ac:dyDescent="0.35">
      <c r="F165" s="83">
        <f t="shared" si="32"/>
        <v>19</v>
      </c>
      <c r="G165" s="728"/>
      <c r="H165" s="728"/>
      <c r="I165" s="728"/>
      <c r="J165" s="741"/>
      <c r="K165" s="741"/>
      <c r="L165" s="746">
        <f t="shared" si="27"/>
        <v>0</v>
      </c>
      <c r="M165" s="746"/>
      <c r="N165" s="746">
        <f t="shared" si="28"/>
        <v>0</v>
      </c>
      <c r="O165" s="746"/>
      <c r="P165" s="749">
        <f t="shared" si="29"/>
        <v>0</v>
      </c>
      <c r="Q165" s="750"/>
      <c r="S165" s="77">
        <f t="shared" si="30"/>
        <v>19</v>
      </c>
      <c r="W165" s="6" t="str">
        <f t="shared" si="31"/>
        <v/>
      </c>
    </row>
    <row r="166" spans="6:23" ht="20.149999999999999" customHeight="1" x14ac:dyDescent="0.35">
      <c r="F166" s="250">
        <f t="shared" si="32"/>
        <v>20</v>
      </c>
      <c r="G166" s="728"/>
      <c r="H166" s="728"/>
      <c r="I166" s="728"/>
      <c r="J166" s="741"/>
      <c r="K166" s="741"/>
      <c r="L166" s="745">
        <f t="shared" si="27"/>
        <v>0</v>
      </c>
      <c r="M166" s="745"/>
      <c r="N166" s="745">
        <f t="shared" si="28"/>
        <v>0</v>
      </c>
      <c r="O166" s="745"/>
      <c r="P166" s="747">
        <f t="shared" si="29"/>
        <v>0</v>
      </c>
      <c r="Q166" s="748"/>
      <c r="S166" s="77">
        <f t="shared" si="30"/>
        <v>20</v>
      </c>
      <c r="W166" s="6" t="str">
        <f t="shared" si="31"/>
        <v/>
      </c>
    </row>
    <row r="167" spans="6:23" ht="20.149999999999999" customHeight="1" x14ac:dyDescent="0.35">
      <c r="F167" s="83">
        <f t="shared" si="32"/>
        <v>21</v>
      </c>
      <c r="G167" s="728"/>
      <c r="H167" s="728"/>
      <c r="I167" s="728"/>
      <c r="J167" s="741"/>
      <c r="K167" s="741"/>
      <c r="L167" s="746">
        <f t="shared" si="27"/>
        <v>0</v>
      </c>
      <c r="M167" s="746"/>
      <c r="N167" s="746">
        <f t="shared" si="28"/>
        <v>0</v>
      </c>
      <c r="O167" s="746"/>
      <c r="P167" s="749">
        <f t="shared" si="29"/>
        <v>0</v>
      </c>
      <c r="Q167" s="750"/>
      <c r="S167" s="77">
        <f t="shared" si="30"/>
        <v>21</v>
      </c>
      <c r="W167" s="6" t="str">
        <f t="shared" si="31"/>
        <v/>
      </c>
    </row>
    <row r="168" spans="6:23" ht="20.149999999999999" customHeight="1" x14ac:dyDescent="0.35">
      <c r="F168" s="250">
        <f t="shared" si="32"/>
        <v>22</v>
      </c>
      <c r="G168" s="728" t="s">
        <v>456</v>
      </c>
      <c r="H168" s="728"/>
      <c r="I168" s="728"/>
      <c r="J168" s="741">
        <v>1000000</v>
      </c>
      <c r="K168" s="741"/>
      <c r="L168" s="745">
        <f t="shared" si="27"/>
        <v>5436540.4125858322</v>
      </c>
      <c r="M168" s="745"/>
      <c r="N168" s="745">
        <f t="shared" si="28"/>
        <v>449289.34773852327</v>
      </c>
      <c r="O168" s="745"/>
      <c r="P168" s="747">
        <f t="shared" si="29"/>
        <v>4647.2761566409154</v>
      </c>
      <c r="Q168" s="748"/>
      <c r="S168" s="77">
        <f t="shared" si="30"/>
        <v>22</v>
      </c>
      <c r="W168" s="6" t="str">
        <f t="shared" si="31"/>
        <v>Post Graduation</v>
      </c>
    </row>
    <row r="169" spans="6:23" ht="20.149999999999999" customHeight="1" x14ac:dyDescent="0.35">
      <c r="F169" s="83">
        <f t="shared" si="32"/>
        <v>23</v>
      </c>
      <c r="G169" s="728"/>
      <c r="H169" s="728"/>
      <c r="I169" s="728"/>
      <c r="J169" s="741"/>
      <c r="K169" s="741"/>
      <c r="L169" s="746">
        <f t="shared" si="27"/>
        <v>0</v>
      </c>
      <c r="M169" s="746"/>
      <c r="N169" s="746">
        <f t="shared" si="28"/>
        <v>0</v>
      </c>
      <c r="O169" s="746"/>
      <c r="P169" s="749">
        <f t="shared" si="29"/>
        <v>0</v>
      </c>
      <c r="Q169" s="750"/>
      <c r="S169" s="77">
        <f t="shared" si="30"/>
        <v>23</v>
      </c>
      <c r="W169" s="6" t="str">
        <f t="shared" si="31"/>
        <v/>
      </c>
    </row>
    <row r="170" spans="6:23" ht="20.149999999999999" customHeight="1" x14ac:dyDescent="0.35">
      <c r="F170" s="250">
        <f t="shared" si="32"/>
        <v>24</v>
      </c>
      <c r="G170" s="728"/>
      <c r="H170" s="728"/>
      <c r="I170" s="728"/>
      <c r="J170" s="741"/>
      <c r="K170" s="741"/>
      <c r="L170" s="745">
        <f t="shared" si="27"/>
        <v>0</v>
      </c>
      <c r="M170" s="745"/>
      <c r="N170" s="745">
        <f t="shared" si="28"/>
        <v>0</v>
      </c>
      <c r="O170" s="745"/>
      <c r="P170" s="747">
        <f t="shared" si="29"/>
        <v>0</v>
      </c>
      <c r="Q170" s="748"/>
      <c r="S170" s="77">
        <f t="shared" si="30"/>
        <v>24</v>
      </c>
      <c r="W170" s="6" t="str">
        <f t="shared" si="31"/>
        <v/>
      </c>
    </row>
    <row r="171" spans="6:23" ht="20.149999999999999" customHeight="1" x14ac:dyDescent="0.35">
      <c r="F171" s="83">
        <f t="shared" si="32"/>
        <v>25</v>
      </c>
      <c r="G171" s="728"/>
      <c r="H171" s="728"/>
      <c r="I171" s="728"/>
      <c r="J171" s="741"/>
      <c r="K171" s="741"/>
      <c r="L171" s="746">
        <f t="shared" si="27"/>
        <v>0</v>
      </c>
      <c r="M171" s="746"/>
      <c r="N171" s="746">
        <f t="shared" si="28"/>
        <v>0</v>
      </c>
      <c r="O171" s="746"/>
      <c r="P171" s="749">
        <f t="shared" si="29"/>
        <v>0</v>
      </c>
      <c r="Q171" s="750"/>
      <c r="S171" s="77">
        <f t="shared" si="30"/>
        <v>25</v>
      </c>
      <c r="W171" s="6" t="str">
        <f t="shared" si="31"/>
        <v/>
      </c>
    </row>
    <row r="172" spans="6:23" ht="20.149999999999999" customHeight="1" x14ac:dyDescent="0.35">
      <c r="F172" s="250">
        <f t="shared" si="32"/>
        <v>26</v>
      </c>
      <c r="G172" s="728" t="s">
        <v>457</v>
      </c>
      <c r="H172" s="728"/>
      <c r="I172" s="728"/>
      <c r="J172" s="741">
        <v>1500000</v>
      </c>
      <c r="K172" s="741"/>
      <c r="L172" s="745">
        <f t="shared" si="27"/>
        <v>11094529.817875305</v>
      </c>
      <c r="M172" s="745"/>
      <c r="N172" s="745">
        <f t="shared" si="28"/>
        <v>582693.68618749804</v>
      </c>
      <c r="O172" s="745"/>
      <c r="P172" s="747">
        <f t="shared" si="29"/>
        <v>5835.5474056870917</v>
      </c>
      <c r="Q172" s="748"/>
      <c r="S172" s="77">
        <f t="shared" si="30"/>
        <v>26</v>
      </c>
      <c r="W172" s="6" t="str">
        <f t="shared" si="31"/>
        <v>Marriage</v>
      </c>
    </row>
    <row r="173" spans="6:23" ht="20.149999999999999" customHeight="1" x14ac:dyDescent="0.35">
      <c r="F173" s="83">
        <f t="shared" si="32"/>
        <v>27</v>
      </c>
      <c r="G173" s="728"/>
      <c r="H173" s="728"/>
      <c r="I173" s="728"/>
      <c r="J173" s="741"/>
      <c r="K173" s="741"/>
      <c r="L173" s="746">
        <f t="shared" si="27"/>
        <v>0</v>
      </c>
      <c r="M173" s="746"/>
      <c r="N173" s="746">
        <f t="shared" si="28"/>
        <v>0</v>
      </c>
      <c r="O173" s="746"/>
      <c r="P173" s="749">
        <f t="shared" si="29"/>
        <v>0</v>
      </c>
      <c r="Q173" s="750"/>
      <c r="S173" s="77">
        <f t="shared" si="30"/>
        <v>27</v>
      </c>
      <c r="W173" s="6" t="str">
        <f t="shared" si="31"/>
        <v/>
      </c>
    </row>
    <row r="174" spans="6:23" ht="20.149999999999999" customHeight="1" x14ac:dyDescent="0.35">
      <c r="F174" s="250">
        <f t="shared" si="32"/>
        <v>28</v>
      </c>
      <c r="G174" s="728"/>
      <c r="H174" s="728"/>
      <c r="I174" s="728"/>
      <c r="J174" s="741"/>
      <c r="K174" s="741"/>
      <c r="L174" s="745">
        <f t="shared" si="27"/>
        <v>0</v>
      </c>
      <c r="M174" s="745"/>
      <c r="N174" s="745">
        <f t="shared" si="28"/>
        <v>0</v>
      </c>
      <c r="O174" s="745"/>
      <c r="P174" s="747">
        <f t="shared" si="29"/>
        <v>0</v>
      </c>
      <c r="Q174" s="748"/>
      <c r="S174" s="77">
        <f t="shared" si="30"/>
        <v>28</v>
      </c>
      <c r="W174" s="6" t="str">
        <f t="shared" si="31"/>
        <v/>
      </c>
    </row>
    <row r="175" spans="6:23" ht="20.149999999999999" customHeight="1" x14ac:dyDescent="0.35">
      <c r="F175" s="83">
        <f t="shared" si="32"/>
        <v>29</v>
      </c>
      <c r="G175" s="728"/>
      <c r="H175" s="728"/>
      <c r="I175" s="728"/>
      <c r="J175" s="741"/>
      <c r="K175" s="741"/>
      <c r="L175" s="746">
        <f t="shared" si="27"/>
        <v>0</v>
      </c>
      <c r="M175" s="746"/>
      <c r="N175" s="746">
        <f t="shared" si="28"/>
        <v>0</v>
      </c>
      <c r="O175" s="746"/>
      <c r="P175" s="749">
        <f t="shared" si="29"/>
        <v>0</v>
      </c>
      <c r="Q175" s="750"/>
      <c r="S175" s="77">
        <f t="shared" si="30"/>
        <v>29</v>
      </c>
      <c r="W175" s="6" t="str">
        <f t="shared" si="31"/>
        <v/>
      </c>
    </row>
    <row r="176" spans="6:23" ht="20.149999999999999" customHeight="1" x14ac:dyDescent="0.35">
      <c r="F176" s="250">
        <f t="shared" si="32"/>
        <v>30</v>
      </c>
      <c r="G176" s="728"/>
      <c r="H176" s="728"/>
      <c r="I176" s="728"/>
      <c r="J176" s="741"/>
      <c r="K176" s="741"/>
      <c r="L176" s="745">
        <f t="shared" si="27"/>
        <v>0</v>
      </c>
      <c r="M176" s="745"/>
      <c r="N176" s="745">
        <f t="shared" si="28"/>
        <v>0</v>
      </c>
      <c r="O176" s="745"/>
      <c r="P176" s="747">
        <f t="shared" si="29"/>
        <v>0</v>
      </c>
      <c r="Q176" s="748"/>
      <c r="S176" s="77">
        <f t="shared" si="30"/>
        <v>30</v>
      </c>
      <c r="W176" s="6" t="str">
        <f t="shared" si="31"/>
        <v/>
      </c>
    </row>
    <row r="177" spans="12:17" ht="20.149999999999999" customHeight="1" x14ac:dyDescent="0.35">
      <c r="L177" s="751" t="s">
        <v>74</v>
      </c>
      <c r="M177" s="662"/>
      <c r="N177" s="752">
        <f>SUM(N161:O176)</f>
        <v>1946955.1878325806</v>
      </c>
      <c r="O177" s="753"/>
      <c r="P177" s="752">
        <f>SUM(P161:Q176)</f>
        <v>20664.494585028173</v>
      </c>
      <c r="Q177" s="754"/>
    </row>
    <row r="178" spans="12:17" ht="20.149999999999999" customHeight="1" x14ac:dyDescent="0.35"/>
    <row r="179" spans="12:17" ht="20.149999999999999" customHeight="1" x14ac:dyDescent="0.35"/>
    <row r="180" spans="12:17" ht="20.149999999999999" customHeight="1" x14ac:dyDescent="0.35"/>
    <row r="181" spans="12:17" ht="20.149999999999999" customHeight="1" x14ac:dyDescent="0.35"/>
    <row r="182" spans="12:17" ht="20.149999999999999" customHeight="1" x14ac:dyDescent="0.35"/>
    <row r="183" spans="12:17" ht="20.149999999999999" customHeight="1" x14ac:dyDescent="0.35"/>
    <row r="184" spans="12:17" ht="20.149999999999999" customHeight="1" x14ac:dyDescent="0.35"/>
    <row r="185" spans="12:17" ht="20.149999999999999" hidden="1" customHeight="1" x14ac:dyDescent="0.35"/>
    <row r="186" spans="12:17" ht="20.149999999999999" hidden="1" customHeight="1" x14ac:dyDescent="0.35"/>
    <row r="187" spans="12:17" ht="20.149999999999999" hidden="1" customHeight="1" x14ac:dyDescent="0.35"/>
    <row r="188" spans="12:17" ht="20.149999999999999" hidden="1" customHeight="1" x14ac:dyDescent="0.35"/>
    <row r="189" spans="12:17" ht="20.149999999999999" hidden="1" customHeight="1" x14ac:dyDescent="0.35"/>
    <row r="190" spans="12:17" ht="20.149999999999999" hidden="1" customHeight="1" x14ac:dyDescent="0.35"/>
    <row r="191" spans="12:17" ht="20.149999999999999" hidden="1" customHeight="1" x14ac:dyDescent="0.35"/>
    <row r="192" spans="12:17" ht="20.149999999999999" hidden="1" customHeight="1" x14ac:dyDescent="0.35"/>
    <row r="193" ht="20.149999999999999" hidden="1" customHeight="1" x14ac:dyDescent="0.35"/>
    <row r="194" ht="20.149999999999999" hidden="1" customHeight="1" x14ac:dyDescent="0.35"/>
    <row r="195" ht="20.149999999999999" hidden="1" customHeight="1" x14ac:dyDescent="0.35"/>
    <row r="196" ht="20.149999999999999" hidden="1" customHeight="1" x14ac:dyDescent="0.35"/>
    <row r="197" ht="20.149999999999999" hidden="1" customHeight="1" x14ac:dyDescent="0.35"/>
    <row r="198" ht="20.149999999999999" hidden="1" customHeight="1" x14ac:dyDescent="0.35"/>
    <row r="199" ht="20.149999999999999" hidden="1" customHeight="1" x14ac:dyDescent="0.35"/>
    <row r="200" ht="20.149999999999999" hidden="1" customHeight="1" x14ac:dyDescent="0.35"/>
    <row r="201" ht="20.149999999999999" hidden="1" customHeight="1" x14ac:dyDescent="0.35"/>
    <row r="202" ht="20.149999999999999" hidden="1" customHeight="1" x14ac:dyDescent="0.35"/>
    <row r="203" ht="20.149999999999999" hidden="1" customHeight="1" x14ac:dyDescent="0.35"/>
    <row r="204" ht="20.149999999999999" hidden="1" customHeight="1" x14ac:dyDescent="0.35"/>
    <row r="205" ht="20.149999999999999" hidden="1" customHeight="1" x14ac:dyDescent="0.35"/>
    <row r="206" ht="20.149999999999999" hidden="1" customHeight="1" x14ac:dyDescent="0.35"/>
    <row r="207" ht="20.149999999999999" hidden="1" customHeight="1" x14ac:dyDescent="0.35"/>
    <row r="208" ht="20.149999999999999" hidden="1" customHeight="1" x14ac:dyDescent="0.35"/>
    <row r="209" ht="20.149999999999999" hidden="1" customHeight="1" x14ac:dyDescent="0.35"/>
    <row r="210" ht="20.149999999999999" hidden="1" customHeight="1" x14ac:dyDescent="0.35"/>
    <row r="211" ht="20.149999999999999" hidden="1" customHeight="1" x14ac:dyDescent="0.35"/>
    <row r="212" ht="20.149999999999999" hidden="1" customHeight="1" x14ac:dyDescent="0.35"/>
    <row r="213" ht="20.149999999999999" hidden="1" customHeight="1" x14ac:dyDescent="0.35"/>
    <row r="214" ht="20.149999999999999" hidden="1" customHeight="1" x14ac:dyDescent="0.35"/>
    <row r="215" ht="20.149999999999999" hidden="1" customHeight="1" x14ac:dyDescent="0.35"/>
    <row r="216" ht="20.149999999999999" hidden="1" customHeight="1" x14ac:dyDescent="0.35"/>
    <row r="217" ht="20.149999999999999" hidden="1" customHeight="1" x14ac:dyDescent="0.35"/>
    <row r="218" ht="20.149999999999999" hidden="1" customHeight="1" x14ac:dyDescent="0.35"/>
    <row r="219" ht="20.149999999999999" hidden="1" customHeight="1" x14ac:dyDescent="0.35"/>
    <row r="220" ht="20.149999999999999" hidden="1" customHeight="1" x14ac:dyDescent="0.35"/>
    <row r="221" ht="20.149999999999999" hidden="1" customHeight="1" x14ac:dyDescent="0.35"/>
    <row r="222" ht="20.149999999999999" hidden="1" customHeight="1" x14ac:dyDescent="0.35"/>
    <row r="223" ht="20.149999999999999" hidden="1" customHeight="1" x14ac:dyDescent="0.35"/>
    <row r="224" ht="20.149999999999999" hidden="1" customHeight="1" x14ac:dyDescent="0.35"/>
    <row r="225" ht="20.149999999999999" hidden="1" customHeight="1" x14ac:dyDescent="0.35"/>
    <row r="226" ht="20.149999999999999" hidden="1" customHeight="1" x14ac:dyDescent="0.35"/>
    <row r="227" ht="20.149999999999999" hidden="1" customHeight="1" x14ac:dyDescent="0.35"/>
    <row r="228" ht="20.149999999999999" hidden="1" customHeight="1" x14ac:dyDescent="0.35"/>
    <row r="229" ht="20.149999999999999" hidden="1" customHeight="1" x14ac:dyDescent="0.35"/>
    <row r="230" ht="20.149999999999999" hidden="1" customHeight="1" x14ac:dyDescent="0.35"/>
    <row r="231" ht="20.149999999999999" hidden="1" customHeight="1" x14ac:dyDescent="0.35"/>
    <row r="232" ht="20.149999999999999" hidden="1" customHeight="1" x14ac:dyDescent="0.35"/>
    <row r="233" ht="20.149999999999999" hidden="1" customHeight="1" x14ac:dyDescent="0.35"/>
    <row r="234" ht="20.149999999999999" hidden="1" customHeight="1" x14ac:dyDescent="0.35"/>
    <row r="235" ht="20.149999999999999" hidden="1" customHeight="1" x14ac:dyDescent="0.35"/>
    <row r="236" ht="20.149999999999999" hidden="1" customHeight="1" x14ac:dyDescent="0.35"/>
    <row r="237" ht="20.149999999999999" hidden="1" customHeight="1" x14ac:dyDescent="0.35"/>
    <row r="238" ht="20.149999999999999" hidden="1" customHeight="1" x14ac:dyDescent="0.35"/>
    <row r="239" ht="20.149999999999999" hidden="1" customHeight="1" x14ac:dyDescent="0.35"/>
    <row r="240" ht="20.149999999999999" hidden="1" customHeight="1" x14ac:dyDescent="0.35"/>
    <row r="241" ht="20.149999999999999" hidden="1" customHeight="1" x14ac:dyDescent="0.35"/>
    <row r="242" ht="20.149999999999999" hidden="1" customHeight="1" x14ac:dyDescent="0.35"/>
    <row r="243" ht="20.149999999999999" hidden="1" customHeight="1" x14ac:dyDescent="0.35"/>
    <row r="244" ht="20.149999999999999" hidden="1" customHeight="1" x14ac:dyDescent="0.35"/>
    <row r="245" ht="20.149999999999999" hidden="1" customHeight="1" x14ac:dyDescent="0.35"/>
    <row r="246" ht="20.149999999999999" hidden="1" customHeight="1" x14ac:dyDescent="0.35"/>
    <row r="247" ht="20.149999999999999" hidden="1" customHeight="1" x14ac:dyDescent="0.35"/>
    <row r="248" ht="20.149999999999999" hidden="1" customHeight="1" x14ac:dyDescent="0.35"/>
    <row r="249" ht="20.149999999999999" hidden="1" customHeight="1" x14ac:dyDescent="0.35"/>
    <row r="250" ht="20.149999999999999" hidden="1" customHeight="1" x14ac:dyDescent="0.35"/>
    <row r="251" ht="20.149999999999999" hidden="1" customHeight="1" x14ac:dyDescent="0.35"/>
    <row r="252" ht="20.149999999999999" hidden="1" customHeight="1" x14ac:dyDescent="0.35"/>
    <row r="253" ht="20.149999999999999" hidden="1" customHeight="1" x14ac:dyDescent="0.35"/>
    <row r="254" ht="20.149999999999999" hidden="1" customHeight="1" x14ac:dyDescent="0.35"/>
    <row r="255" ht="20.149999999999999" hidden="1" customHeight="1" x14ac:dyDescent="0.35"/>
    <row r="256" ht="20.149999999999999" hidden="1" customHeight="1" x14ac:dyDescent="0.35"/>
    <row r="257" ht="20.149999999999999" hidden="1" customHeight="1" x14ac:dyDescent="0.35"/>
    <row r="258" ht="20.149999999999999" hidden="1" customHeight="1" x14ac:dyDescent="0.35"/>
    <row r="259" ht="20.149999999999999" hidden="1" customHeight="1" x14ac:dyDescent="0.35"/>
    <row r="260" ht="20.149999999999999" hidden="1" customHeight="1" x14ac:dyDescent="0.35"/>
    <row r="261" ht="20.149999999999999" hidden="1" customHeight="1" x14ac:dyDescent="0.35"/>
    <row r="262" ht="20.149999999999999" hidden="1" customHeight="1" x14ac:dyDescent="0.35"/>
    <row r="263" ht="20.149999999999999" hidden="1" customHeight="1" x14ac:dyDescent="0.35"/>
    <row r="264" ht="20.149999999999999" hidden="1" customHeight="1" x14ac:dyDescent="0.35"/>
    <row r="265" ht="20.149999999999999" hidden="1" customHeight="1" x14ac:dyDescent="0.35"/>
    <row r="266" ht="20.149999999999999" hidden="1" customHeight="1" x14ac:dyDescent="0.35"/>
    <row r="267" ht="20.149999999999999" hidden="1" customHeight="1" x14ac:dyDescent="0.35"/>
    <row r="268" ht="20.149999999999999" hidden="1" customHeight="1" x14ac:dyDescent="0.35"/>
    <row r="269" ht="20.149999999999999" hidden="1" customHeight="1" x14ac:dyDescent="0.35"/>
    <row r="270" ht="20.149999999999999" hidden="1" customHeight="1" x14ac:dyDescent="0.35"/>
    <row r="271" ht="20.149999999999999" hidden="1" customHeight="1" x14ac:dyDescent="0.35"/>
    <row r="272" ht="20.149999999999999" hidden="1" customHeight="1" x14ac:dyDescent="0.35"/>
    <row r="273" ht="20.149999999999999" hidden="1" customHeight="1" x14ac:dyDescent="0.35"/>
    <row r="274" ht="20.149999999999999" hidden="1" customHeight="1" x14ac:dyDescent="0.35"/>
    <row r="275" ht="20.149999999999999" hidden="1" customHeight="1" x14ac:dyDescent="0.35"/>
    <row r="276" ht="20.149999999999999" hidden="1" customHeight="1" x14ac:dyDescent="0.35"/>
    <row r="277" ht="20.149999999999999" hidden="1" customHeight="1" x14ac:dyDescent="0.35"/>
    <row r="278" ht="20.149999999999999" hidden="1" customHeight="1" x14ac:dyDescent="0.35"/>
    <row r="279" ht="20.149999999999999" hidden="1" customHeight="1" x14ac:dyDescent="0.35"/>
    <row r="280" ht="20.149999999999999" hidden="1" customHeight="1" x14ac:dyDescent="0.35"/>
    <row r="281" ht="20.149999999999999" hidden="1" customHeight="1" x14ac:dyDescent="0.35"/>
    <row r="282" ht="20.149999999999999" hidden="1" customHeight="1" x14ac:dyDescent="0.35"/>
    <row r="283" ht="20.149999999999999" hidden="1" customHeight="1" x14ac:dyDescent="0.35"/>
    <row r="284" ht="20.149999999999999" hidden="1" customHeight="1" x14ac:dyDescent="0.35"/>
    <row r="285" ht="20.149999999999999" hidden="1" customHeight="1" x14ac:dyDescent="0.35"/>
    <row r="286" ht="20.149999999999999" hidden="1" customHeight="1" x14ac:dyDescent="0.35"/>
    <row r="287" ht="20.149999999999999" hidden="1" customHeight="1" x14ac:dyDescent="0.35"/>
    <row r="288" ht="20.149999999999999" hidden="1" customHeight="1" x14ac:dyDescent="0.35"/>
    <row r="289" ht="20.149999999999999" hidden="1" customHeight="1" x14ac:dyDescent="0.35"/>
    <row r="290" ht="20.149999999999999" hidden="1" customHeight="1" x14ac:dyDescent="0.35"/>
    <row r="291" ht="20.149999999999999" hidden="1" customHeight="1" x14ac:dyDescent="0.35"/>
    <row r="292" ht="20.149999999999999" hidden="1" customHeight="1" x14ac:dyDescent="0.35"/>
    <row r="293" ht="20.149999999999999" hidden="1" customHeight="1" x14ac:dyDescent="0.35"/>
    <row r="294" ht="20.149999999999999" hidden="1" customHeight="1" x14ac:dyDescent="0.35"/>
    <row r="295" ht="20.149999999999999" hidden="1" customHeight="1" x14ac:dyDescent="0.35"/>
    <row r="296" ht="20.149999999999999" hidden="1" customHeight="1" x14ac:dyDescent="0.35"/>
    <row r="297" ht="20.149999999999999" hidden="1" customHeight="1" x14ac:dyDescent="0.35"/>
    <row r="298" ht="20.149999999999999" hidden="1" customHeight="1" x14ac:dyDescent="0.35"/>
    <row r="299" ht="20.149999999999999" hidden="1" customHeight="1" x14ac:dyDescent="0.35"/>
    <row r="300" ht="20.149999999999999" hidden="1" customHeight="1" x14ac:dyDescent="0.35"/>
    <row r="301" ht="20.149999999999999" hidden="1" customHeight="1" x14ac:dyDescent="0.35"/>
    <row r="302" ht="20.149999999999999" hidden="1" customHeight="1" x14ac:dyDescent="0.35"/>
    <row r="303" ht="20.149999999999999" hidden="1" customHeight="1" x14ac:dyDescent="0.35"/>
    <row r="304" ht="20.149999999999999" hidden="1" customHeight="1" x14ac:dyDescent="0.35"/>
    <row r="305" ht="20.149999999999999" hidden="1" customHeight="1" x14ac:dyDescent="0.35"/>
    <row r="306" ht="20.149999999999999" hidden="1" customHeight="1" x14ac:dyDescent="0.35"/>
    <row r="307" ht="20.149999999999999" hidden="1" customHeight="1" x14ac:dyDescent="0.35"/>
    <row r="308" ht="20.149999999999999" hidden="1" customHeight="1" x14ac:dyDescent="0.35"/>
    <row r="309" ht="20.149999999999999" hidden="1" customHeight="1" x14ac:dyDescent="0.35"/>
    <row r="310" ht="20.149999999999999" hidden="1" customHeight="1" x14ac:dyDescent="0.35"/>
    <row r="311" ht="20.149999999999999" hidden="1" customHeight="1" x14ac:dyDescent="0.35"/>
    <row r="312" ht="20.149999999999999" hidden="1" customHeight="1" x14ac:dyDescent="0.35"/>
    <row r="313" ht="20.149999999999999" hidden="1" customHeight="1" x14ac:dyDescent="0.35"/>
    <row r="314" ht="20.149999999999999" hidden="1" customHeight="1" x14ac:dyDescent="0.35"/>
    <row r="315" ht="20.149999999999999" hidden="1" customHeight="1" x14ac:dyDescent="0.35"/>
    <row r="316" ht="20.149999999999999" hidden="1" customHeight="1" x14ac:dyDescent="0.35"/>
    <row r="317" ht="20.149999999999999" hidden="1" customHeight="1" x14ac:dyDescent="0.35"/>
    <row r="318" ht="20.149999999999999" hidden="1" customHeight="1" x14ac:dyDescent="0.35"/>
    <row r="319" ht="20.149999999999999" hidden="1" customHeight="1" x14ac:dyDescent="0.35"/>
    <row r="320" ht="20.149999999999999" hidden="1" customHeight="1" x14ac:dyDescent="0.35"/>
    <row r="321" ht="20.149999999999999" hidden="1" customHeight="1" x14ac:dyDescent="0.35"/>
    <row r="322" ht="20.149999999999999" hidden="1" customHeight="1" x14ac:dyDescent="0.35"/>
    <row r="323" ht="20.149999999999999" hidden="1" customHeight="1" x14ac:dyDescent="0.35"/>
    <row r="324" ht="20.149999999999999" hidden="1" customHeight="1" x14ac:dyDescent="0.35"/>
    <row r="325" ht="20.149999999999999" hidden="1" customHeight="1" x14ac:dyDescent="0.35"/>
    <row r="326" ht="20.149999999999999" hidden="1" customHeight="1" x14ac:dyDescent="0.35"/>
    <row r="327" ht="20.149999999999999" hidden="1" customHeight="1" x14ac:dyDescent="0.35"/>
    <row r="328" ht="20.149999999999999" hidden="1" customHeight="1" x14ac:dyDescent="0.35"/>
    <row r="329" ht="20.149999999999999" hidden="1" customHeight="1" x14ac:dyDescent="0.35"/>
    <row r="330" ht="20.149999999999999" hidden="1" customHeight="1" x14ac:dyDescent="0.35"/>
    <row r="331" ht="20.149999999999999" hidden="1" customHeight="1" x14ac:dyDescent="0.35"/>
    <row r="332" ht="20.149999999999999" hidden="1" customHeight="1" x14ac:dyDescent="0.35"/>
    <row r="333" ht="20.149999999999999" hidden="1" customHeight="1" x14ac:dyDescent="0.35"/>
    <row r="334" ht="20.149999999999999" hidden="1" customHeight="1" x14ac:dyDescent="0.35"/>
    <row r="335" ht="20.149999999999999" hidden="1" customHeight="1" x14ac:dyDescent="0.35"/>
    <row r="336" ht="20.149999999999999" hidden="1" customHeight="1" x14ac:dyDescent="0.35"/>
    <row r="337" ht="20.149999999999999" hidden="1" customHeight="1" x14ac:dyDescent="0.35"/>
    <row r="338" ht="20.149999999999999" hidden="1" customHeight="1" x14ac:dyDescent="0.35"/>
    <row r="339" ht="20.149999999999999" hidden="1" customHeight="1" x14ac:dyDescent="0.35"/>
    <row r="340" ht="20.149999999999999" hidden="1" customHeight="1" x14ac:dyDescent="0.35"/>
    <row r="341" ht="20.149999999999999" hidden="1" customHeight="1" x14ac:dyDescent="0.35"/>
    <row r="342" ht="20.149999999999999" hidden="1" customHeight="1" x14ac:dyDescent="0.35"/>
    <row r="343" ht="20.149999999999999" hidden="1" customHeight="1" x14ac:dyDescent="0.35"/>
    <row r="344" ht="20.149999999999999" hidden="1" customHeight="1" x14ac:dyDescent="0.35"/>
    <row r="345" ht="20.149999999999999" hidden="1" customHeight="1" x14ac:dyDescent="0.35"/>
    <row r="346" ht="20.149999999999999" hidden="1" customHeight="1" x14ac:dyDescent="0.35"/>
    <row r="347" ht="20.149999999999999" hidden="1" customHeight="1" x14ac:dyDescent="0.35"/>
    <row r="348" ht="20.149999999999999" hidden="1" customHeight="1" x14ac:dyDescent="0.35"/>
    <row r="349" ht="20.149999999999999" hidden="1" customHeight="1" x14ac:dyDescent="0.35"/>
    <row r="350" ht="20.149999999999999" hidden="1" customHeight="1" x14ac:dyDescent="0.35"/>
    <row r="351" ht="20.149999999999999" hidden="1" customHeight="1" x14ac:dyDescent="0.35"/>
    <row r="352" ht="20.149999999999999" hidden="1" customHeight="1" x14ac:dyDescent="0.35"/>
    <row r="353" ht="20.149999999999999" hidden="1" customHeight="1" x14ac:dyDescent="0.35"/>
    <row r="354" ht="20.149999999999999" hidden="1" customHeight="1" x14ac:dyDescent="0.35"/>
    <row r="355" ht="20.149999999999999" hidden="1" customHeight="1" x14ac:dyDescent="0.35"/>
    <row r="356" ht="20.149999999999999" hidden="1" customHeight="1" x14ac:dyDescent="0.35"/>
    <row r="357" ht="20.149999999999999" hidden="1" customHeight="1" x14ac:dyDescent="0.35"/>
    <row r="358" ht="20.149999999999999" hidden="1" customHeight="1" x14ac:dyDescent="0.35"/>
    <row r="359" ht="20.149999999999999" hidden="1" customHeight="1" x14ac:dyDescent="0.35"/>
    <row r="360" ht="20.149999999999999" hidden="1" customHeight="1" x14ac:dyDescent="0.35"/>
    <row r="361" ht="20.149999999999999" hidden="1" customHeight="1" x14ac:dyDescent="0.35"/>
    <row r="362" ht="20.149999999999999" hidden="1" customHeight="1" x14ac:dyDescent="0.35"/>
    <row r="363" ht="20.149999999999999" hidden="1" customHeight="1" x14ac:dyDescent="0.35"/>
    <row r="364" ht="20.149999999999999" hidden="1" customHeight="1" x14ac:dyDescent="0.35"/>
    <row r="365" ht="20.149999999999999" hidden="1" customHeight="1" x14ac:dyDescent="0.35"/>
    <row r="366" ht="20.149999999999999" hidden="1" customHeight="1" x14ac:dyDescent="0.35"/>
    <row r="367" ht="20.149999999999999" hidden="1" customHeight="1" x14ac:dyDescent="0.35"/>
    <row r="368" ht="20.149999999999999" hidden="1" customHeight="1" x14ac:dyDescent="0.35"/>
    <row r="369" ht="20.149999999999999" hidden="1" customHeight="1" x14ac:dyDescent="0.35"/>
    <row r="370" ht="20.149999999999999" hidden="1" customHeight="1" x14ac:dyDescent="0.35"/>
    <row r="371" ht="20.149999999999999" hidden="1" customHeight="1" x14ac:dyDescent="0.35"/>
    <row r="372" ht="20.149999999999999" hidden="1" customHeight="1" x14ac:dyDescent="0.35"/>
    <row r="373" ht="20.149999999999999" hidden="1" customHeight="1" x14ac:dyDescent="0.35"/>
    <row r="374" ht="20.149999999999999" hidden="1" customHeight="1" x14ac:dyDescent="0.35"/>
    <row r="375" ht="20.149999999999999" hidden="1" customHeight="1" x14ac:dyDescent="0.35"/>
    <row r="376" ht="20.149999999999999" hidden="1" customHeight="1" x14ac:dyDescent="0.35"/>
    <row r="377" ht="20.149999999999999" hidden="1" customHeight="1" x14ac:dyDescent="0.35"/>
    <row r="378" ht="20.149999999999999" hidden="1" customHeight="1" x14ac:dyDescent="0.35"/>
    <row r="379" ht="20.149999999999999" hidden="1" customHeight="1" x14ac:dyDescent="0.35"/>
    <row r="380" ht="20.149999999999999" hidden="1" customHeight="1" x14ac:dyDescent="0.35"/>
    <row r="381" ht="20.149999999999999" hidden="1" customHeight="1" x14ac:dyDescent="0.35"/>
    <row r="382" ht="20.149999999999999" hidden="1" customHeight="1" x14ac:dyDescent="0.35"/>
    <row r="383" ht="20.149999999999999" hidden="1" customHeight="1" x14ac:dyDescent="0.35"/>
    <row r="384" ht="20.149999999999999" hidden="1" customHeight="1" x14ac:dyDescent="0.35"/>
    <row r="385" ht="20.149999999999999" hidden="1" customHeight="1" x14ac:dyDescent="0.35"/>
    <row r="386" ht="20.149999999999999" hidden="1" customHeight="1" x14ac:dyDescent="0.35"/>
    <row r="387" ht="20.149999999999999" hidden="1" customHeight="1" x14ac:dyDescent="0.35"/>
    <row r="388" ht="20.149999999999999" hidden="1" customHeight="1" x14ac:dyDescent="0.35"/>
    <row r="389" ht="20.149999999999999" hidden="1" customHeight="1" x14ac:dyDescent="0.35"/>
    <row r="390" ht="20.149999999999999" hidden="1" customHeight="1" x14ac:dyDescent="0.35"/>
    <row r="391" ht="20.149999999999999" hidden="1" customHeight="1" x14ac:dyDescent="0.35"/>
    <row r="392" ht="20.149999999999999" hidden="1" customHeight="1" x14ac:dyDescent="0.35"/>
    <row r="393" ht="20.149999999999999" hidden="1" customHeight="1" x14ac:dyDescent="0.35"/>
    <row r="394" ht="20.149999999999999" hidden="1" customHeight="1" x14ac:dyDescent="0.35"/>
    <row r="395" ht="20.149999999999999" hidden="1" customHeight="1" x14ac:dyDescent="0.35"/>
    <row r="396" ht="20.149999999999999" hidden="1" customHeight="1" x14ac:dyDescent="0.35"/>
    <row r="397" ht="20.149999999999999" hidden="1" customHeight="1" x14ac:dyDescent="0.35"/>
    <row r="398" ht="20.149999999999999" hidden="1" customHeight="1" x14ac:dyDescent="0.35"/>
    <row r="399" ht="20.149999999999999" hidden="1" customHeight="1" x14ac:dyDescent="0.35"/>
    <row r="400" ht="20.149999999999999" hidden="1" customHeight="1" x14ac:dyDescent="0.35"/>
    <row r="401" ht="20.149999999999999" hidden="1" customHeight="1" x14ac:dyDescent="0.35"/>
    <row r="402" ht="20.149999999999999" hidden="1" customHeight="1" x14ac:dyDescent="0.35"/>
  </sheetData>
  <mergeCells count="506">
    <mergeCell ref="G176:I176"/>
    <mergeCell ref="J176:K176"/>
    <mergeCell ref="L176:M176"/>
    <mergeCell ref="N176:O176"/>
    <mergeCell ref="P176:Q176"/>
    <mergeCell ref="L177:M177"/>
    <mergeCell ref="N177:O177"/>
    <mergeCell ref="P177:Q177"/>
    <mergeCell ref="O49:Q50"/>
    <mergeCell ref="G174:I174"/>
    <mergeCell ref="J174:K174"/>
    <mergeCell ref="L174:M174"/>
    <mergeCell ref="N174:O174"/>
    <mergeCell ref="P174:Q174"/>
    <mergeCell ref="G175:I175"/>
    <mergeCell ref="J175:K175"/>
    <mergeCell ref="L175:M175"/>
    <mergeCell ref="N175:O175"/>
    <mergeCell ref="P175:Q175"/>
    <mergeCell ref="G172:I172"/>
    <mergeCell ref="J172:K172"/>
    <mergeCell ref="L172:M172"/>
    <mergeCell ref="N172:O172"/>
    <mergeCell ref="P172:Q172"/>
    <mergeCell ref="G173:I173"/>
    <mergeCell ref="J173:K173"/>
    <mergeCell ref="L173:M173"/>
    <mergeCell ref="N173:O173"/>
    <mergeCell ref="P173:Q173"/>
    <mergeCell ref="G170:I170"/>
    <mergeCell ref="J170:K170"/>
    <mergeCell ref="L170:M170"/>
    <mergeCell ref="N170:O170"/>
    <mergeCell ref="P170:Q170"/>
    <mergeCell ref="G171:I171"/>
    <mergeCell ref="J171:K171"/>
    <mergeCell ref="L171:M171"/>
    <mergeCell ref="N171:O171"/>
    <mergeCell ref="P171:Q171"/>
    <mergeCell ref="G168:I168"/>
    <mergeCell ref="J168:K168"/>
    <mergeCell ref="L168:M168"/>
    <mergeCell ref="N168:O168"/>
    <mergeCell ref="P168:Q168"/>
    <mergeCell ref="G169:I169"/>
    <mergeCell ref="J169:K169"/>
    <mergeCell ref="L169:M169"/>
    <mergeCell ref="N169:O169"/>
    <mergeCell ref="P169:Q169"/>
    <mergeCell ref="G166:I166"/>
    <mergeCell ref="J166:K166"/>
    <mergeCell ref="L166:M166"/>
    <mergeCell ref="N166:O166"/>
    <mergeCell ref="P166:Q166"/>
    <mergeCell ref="G167:I167"/>
    <mergeCell ref="J167:K167"/>
    <mergeCell ref="L167:M167"/>
    <mergeCell ref="N167:O167"/>
    <mergeCell ref="P167:Q167"/>
    <mergeCell ref="G164:I164"/>
    <mergeCell ref="J164:K164"/>
    <mergeCell ref="L164:M164"/>
    <mergeCell ref="N164:O164"/>
    <mergeCell ref="P164:Q164"/>
    <mergeCell ref="G165:I165"/>
    <mergeCell ref="J165:K165"/>
    <mergeCell ref="L165:M165"/>
    <mergeCell ref="N165:O165"/>
    <mergeCell ref="P165:Q165"/>
    <mergeCell ref="G162:I162"/>
    <mergeCell ref="J162:K162"/>
    <mergeCell ref="L162:M162"/>
    <mergeCell ref="N162:O162"/>
    <mergeCell ref="P162:Q162"/>
    <mergeCell ref="G163:I163"/>
    <mergeCell ref="J163:K163"/>
    <mergeCell ref="L163:M163"/>
    <mergeCell ref="N163:O163"/>
    <mergeCell ref="P163:Q163"/>
    <mergeCell ref="L148:M148"/>
    <mergeCell ref="N148:O148"/>
    <mergeCell ref="P148:Q148"/>
    <mergeCell ref="G160:I160"/>
    <mergeCell ref="J160:K160"/>
    <mergeCell ref="L160:M160"/>
    <mergeCell ref="N160:O160"/>
    <mergeCell ref="P160:Q160"/>
    <mergeCell ref="G161:I161"/>
    <mergeCell ref="J161:K161"/>
    <mergeCell ref="L161:M161"/>
    <mergeCell ref="N161:O161"/>
    <mergeCell ref="P161:Q161"/>
    <mergeCell ref="G146:I146"/>
    <mergeCell ref="J146:K146"/>
    <mergeCell ref="L146:M146"/>
    <mergeCell ref="N146:O146"/>
    <mergeCell ref="P146:Q146"/>
    <mergeCell ref="G147:I147"/>
    <mergeCell ref="J147:K147"/>
    <mergeCell ref="L147:M147"/>
    <mergeCell ref="N147:O147"/>
    <mergeCell ref="P147:Q147"/>
    <mergeCell ref="G144:I144"/>
    <mergeCell ref="J144:K144"/>
    <mergeCell ref="L144:M144"/>
    <mergeCell ref="N144:O144"/>
    <mergeCell ref="P144:Q144"/>
    <mergeCell ref="G145:I145"/>
    <mergeCell ref="J145:K145"/>
    <mergeCell ref="L145:M145"/>
    <mergeCell ref="N145:O145"/>
    <mergeCell ref="P145:Q145"/>
    <mergeCell ref="G142:I142"/>
    <mergeCell ref="J142:K142"/>
    <mergeCell ref="L142:M142"/>
    <mergeCell ref="N142:O142"/>
    <mergeCell ref="P142:Q142"/>
    <mergeCell ref="G143:I143"/>
    <mergeCell ref="J143:K143"/>
    <mergeCell ref="L143:M143"/>
    <mergeCell ref="N143:O143"/>
    <mergeCell ref="P143:Q143"/>
    <mergeCell ref="G140:I140"/>
    <mergeCell ref="J140:K140"/>
    <mergeCell ref="L140:M140"/>
    <mergeCell ref="N140:O140"/>
    <mergeCell ref="P140:Q140"/>
    <mergeCell ref="G141:I141"/>
    <mergeCell ref="J141:K141"/>
    <mergeCell ref="L141:M141"/>
    <mergeCell ref="N141:O141"/>
    <mergeCell ref="P141:Q141"/>
    <mergeCell ref="G138:I138"/>
    <mergeCell ref="J138:K138"/>
    <mergeCell ref="L138:M138"/>
    <mergeCell ref="N138:O138"/>
    <mergeCell ref="P138:Q138"/>
    <mergeCell ref="G139:I139"/>
    <mergeCell ref="J139:K139"/>
    <mergeCell ref="L139:M139"/>
    <mergeCell ref="N139:O139"/>
    <mergeCell ref="P139:Q139"/>
    <mergeCell ref="G136:I136"/>
    <mergeCell ref="J136:K136"/>
    <mergeCell ref="L136:M136"/>
    <mergeCell ref="N136:O136"/>
    <mergeCell ref="P136:Q136"/>
    <mergeCell ref="G137:I137"/>
    <mergeCell ref="J137:K137"/>
    <mergeCell ref="L137:M137"/>
    <mergeCell ref="N137:O137"/>
    <mergeCell ref="P137:Q137"/>
    <mergeCell ref="G134:I134"/>
    <mergeCell ref="J134:K134"/>
    <mergeCell ref="L134:M134"/>
    <mergeCell ref="N134:O134"/>
    <mergeCell ref="P134:Q134"/>
    <mergeCell ref="G135:I135"/>
    <mergeCell ref="J135:K135"/>
    <mergeCell ref="L135:M135"/>
    <mergeCell ref="N135:O135"/>
    <mergeCell ref="P135:Q135"/>
    <mergeCell ref="G132:I132"/>
    <mergeCell ref="J132:K132"/>
    <mergeCell ref="L132:M132"/>
    <mergeCell ref="N132:O132"/>
    <mergeCell ref="P132:Q132"/>
    <mergeCell ref="G133:I133"/>
    <mergeCell ref="J133:K133"/>
    <mergeCell ref="L133:M133"/>
    <mergeCell ref="N133:O133"/>
    <mergeCell ref="P133:Q133"/>
    <mergeCell ref="G118:I118"/>
    <mergeCell ref="J118:K118"/>
    <mergeCell ref="L118:M118"/>
    <mergeCell ref="N118:O118"/>
    <mergeCell ref="P118:Q118"/>
    <mergeCell ref="L119:M119"/>
    <mergeCell ref="N119:O119"/>
    <mergeCell ref="P119:Q119"/>
    <mergeCell ref="G131:I131"/>
    <mergeCell ref="J131:K131"/>
    <mergeCell ref="L131:M131"/>
    <mergeCell ref="N131:O131"/>
    <mergeCell ref="P131:Q131"/>
    <mergeCell ref="G116:I116"/>
    <mergeCell ref="J116:K116"/>
    <mergeCell ref="L116:M116"/>
    <mergeCell ref="N116:O116"/>
    <mergeCell ref="P116:Q116"/>
    <mergeCell ref="G117:I117"/>
    <mergeCell ref="J117:K117"/>
    <mergeCell ref="L117:M117"/>
    <mergeCell ref="N117:O117"/>
    <mergeCell ref="P117:Q117"/>
    <mergeCell ref="N112:O112"/>
    <mergeCell ref="N113:O113"/>
    <mergeCell ref="N114:O114"/>
    <mergeCell ref="N115:O115"/>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N103:O103"/>
    <mergeCell ref="N104:O104"/>
    <mergeCell ref="N105:O105"/>
    <mergeCell ref="N106:O106"/>
    <mergeCell ref="N107:O107"/>
    <mergeCell ref="N108:O108"/>
    <mergeCell ref="N109:O109"/>
    <mergeCell ref="N110:O110"/>
    <mergeCell ref="N111:O111"/>
    <mergeCell ref="J112:K112"/>
    <mergeCell ref="J113:K113"/>
    <mergeCell ref="J114:K114"/>
    <mergeCell ref="J115:K115"/>
    <mergeCell ref="L103:M103"/>
    <mergeCell ref="L104:M104"/>
    <mergeCell ref="L105:M105"/>
    <mergeCell ref="L106:M106"/>
    <mergeCell ref="L107:M107"/>
    <mergeCell ref="L108:M108"/>
    <mergeCell ref="L109:M109"/>
    <mergeCell ref="L110:M110"/>
    <mergeCell ref="L111:M111"/>
    <mergeCell ref="L112:M112"/>
    <mergeCell ref="L113:M113"/>
    <mergeCell ref="L114:M114"/>
    <mergeCell ref="L115:M115"/>
    <mergeCell ref="J103:K103"/>
    <mergeCell ref="J104:K104"/>
    <mergeCell ref="J105:K105"/>
    <mergeCell ref="J106:K106"/>
    <mergeCell ref="J107:K107"/>
    <mergeCell ref="J108:K108"/>
    <mergeCell ref="J109:K109"/>
    <mergeCell ref="J110:K110"/>
    <mergeCell ref="J111:K111"/>
    <mergeCell ref="G102:I102"/>
    <mergeCell ref="G103:I103"/>
    <mergeCell ref="G104:I104"/>
    <mergeCell ref="G105:I105"/>
    <mergeCell ref="G106:I106"/>
    <mergeCell ref="G107:I107"/>
    <mergeCell ref="G108:I108"/>
    <mergeCell ref="G109:I109"/>
    <mergeCell ref="G110:I110"/>
    <mergeCell ref="G111:I111"/>
    <mergeCell ref="G112:I112"/>
    <mergeCell ref="G113:I113"/>
    <mergeCell ref="G114:I114"/>
    <mergeCell ref="G115:I115"/>
    <mergeCell ref="I1:P3"/>
    <mergeCell ref="A2:A3"/>
    <mergeCell ref="B2:H3"/>
    <mergeCell ref="N4:O4"/>
    <mergeCell ref="D8:F8"/>
    <mergeCell ref="O25:P25"/>
    <mergeCell ref="O29:P29"/>
    <mergeCell ref="D6:F6"/>
    <mergeCell ref="K6:M6"/>
    <mergeCell ref="D7:F7"/>
    <mergeCell ref="K7:M7"/>
    <mergeCell ref="B24:P24"/>
    <mergeCell ref="E25:F25"/>
    <mergeCell ref="G25:I25"/>
    <mergeCell ref="B28:P28"/>
    <mergeCell ref="J29:K29"/>
    <mergeCell ref="L29:N29"/>
    <mergeCell ref="J25:K25"/>
    <mergeCell ref="L25:N25"/>
    <mergeCell ref="B20:P21"/>
    <mergeCell ref="E29:F29"/>
    <mergeCell ref="G29:I29"/>
    <mergeCell ref="I7:J7"/>
    <mergeCell ref="I6:J6"/>
    <mergeCell ref="J32:M32"/>
    <mergeCell ref="J37:M37"/>
    <mergeCell ref="F37:G37"/>
    <mergeCell ref="H33:I33"/>
    <mergeCell ref="H34:I34"/>
    <mergeCell ref="H35:I35"/>
    <mergeCell ref="H36:I36"/>
    <mergeCell ref="H37:I37"/>
    <mergeCell ref="F32:G32"/>
    <mergeCell ref="H32:I32"/>
    <mergeCell ref="F33:G33"/>
    <mergeCell ref="F34:G34"/>
    <mergeCell ref="F35:G35"/>
    <mergeCell ref="F36:G36"/>
    <mergeCell ref="L15:N15"/>
    <mergeCell ref="L16:N16"/>
    <mergeCell ref="N32:O32"/>
    <mergeCell ref="B9:P10"/>
    <mergeCell ref="B33:E33"/>
    <mergeCell ref="N33:O33"/>
    <mergeCell ref="P32:Q32"/>
    <mergeCell ref="P33:Q33"/>
    <mergeCell ref="K42:L42"/>
    <mergeCell ref="M42:P42"/>
    <mergeCell ref="K8:M8"/>
    <mergeCell ref="K40:L40"/>
    <mergeCell ref="K41:L41"/>
    <mergeCell ref="N37:O37"/>
    <mergeCell ref="P37:Q37"/>
    <mergeCell ref="L31:M31"/>
    <mergeCell ref="E31:K31"/>
    <mergeCell ref="P34:Q34"/>
    <mergeCell ref="P35:Q35"/>
    <mergeCell ref="P36:Q36"/>
    <mergeCell ref="J33:M33"/>
    <mergeCell ref="J34:M34"/>
    <mergeCell ref="J35:M35"/>
    <mergeCell ref="J36:M36"/>
    <mergeCell ref="B37:E37"/>
    <mergeCell ref="B34:E34"/>
    <mergeCell ref="B35:E35"/>
    <mergeCell ref="B36:E36"/>
    <mergeCell ref="B32:E32"/>
    <mergeCell ref="N34:O34"/>
    <mergeCell ref="N35:O35"/>
    <mergeCell ref="N36:O36"/>
    <mergeCell ref="C67:E67"/>
    <mergeCell ref="F67:H67"/>
    <mergeCell ref="I67:K67"/>
    <mergeCell ref="L67:N67"/>
    <mergeCell ref="O67:Q67"/>
    <mergeCell ref="O45:Q45"/>
    <mergeCell ref="O46:Q46"/>
    <mergeCell ref="O47:Q47"/>
    <mergeCell ref="O48:Q48"/>
    <mergeCell ref="J52:N53"/>
    <mergeCell ref="O52:Q53"/>
    <mergeCell ref="O57:Q57"/>
    <mergeCell ref="O59:Q59"/>
    <mergeCell ref="O61:Q61"/>
    <mergeCell ref="O63:Q63"/>
    <mergeCell ref="J54:N55"/>
    <mergeCell ref="O54:Q55"/>
    <mergeCell ref="C73:E73"/>
    <mergeCell ref="C74:E74"/>
    <mergeCell ref="C75:E75"/>
    <mergeCell ref="C76:E76"/>
    <mergeCell ref="C77:E77"/>
    <mergeCell ref="C68:E68"/>
    <mergeCell ref="C69:E69"/>
    <mergeCell ref="C70:E70"/>
    <mergeCell ref="C71:E71"/>
    <mergeCell ref="C72:E72"/>
    <mergeCell ref="C83:E83"/>
    <mergeCell ref="C84:E84"/>
    <mergeCell ref="C85:E85"/>
    <mergeCell ref="C86:E86"/>
    <mergeCell ref="C87:E87"/>
    <mergeCell ref="C78:E78"/>
    <mergeCell ref="C79:E79"/>
    <mergeCell ref="C80:E80"/>
    <mergeCell ref="C81:E81"/>
    <mergeCell ref="C82:E82"/>
    <mergeCell ref="C93:E93"/>
    <mergeCell ref="C94:E94"/>
    <mergeCell ref="C95:E95"/>
    <mergeCell ref="C96:E96"/>
    <mergeCell ref="C97:E97"/>
    <mergeCell ref="C88:E88"/>
    <mergeCell ref="C89:E89"/>
    <mergeCell ref="C90:E90"/>
    <mergeCell ref="C91:E91"/>
    <mergeCell ref="C92:E92"/>
    <mergeCell ref="F73:H73"/>
    <mergeCell ref="F74:H74"/>
    <mergeCell ref="F75:H75"/>
    <mergeCell ref="F76:H76"/>
    <mergeCell ref="F77:H77"/>
    <mergeCell ref="F68:H68"/>
    <mergeCell ref="F69:H69"/>
    <mergeCell ref="F70:H70"/>
    <mergeCell ref="F71:H71"/>
    <mergeCell ref="F72:H72"/>
    <mergeCell ref="I68:K68"/>
    <mergeCell ref="I69:K69"/>
    <mergeCell ref="I70:K70"/>
    <mergeCell ref="I71:K71"/>
    <mergeCell ref="I72:K72"/>
    <mergeCell ref="F93:H93"/>
    <mergeCell ref="F94:H94"/>
    <mergeCell ref="F95:H95"/>
    <mergeCell ref="F96:H96"/>
    <mergeCell ref="F88:H88"/>
    <mergeCell ref="F89:H89"/>
    <mergeCell ref="F90:H90"/>
    <mergeCell ref="F91:H91"/>
    <mergeCell ref="F92:H92"/>
    <mergeCell ref="F83:H83"/>
    <mergeCell ref="F84:H84"/>
    <mergeCell ref="F85:H85"/>
    <mergeCell ref="F86:H86"/>
    <mergeCell ref="F87:H87"/>
    <mergeCell ref="F78:H78"/>
    <mergeCell ref="F79:H79"/>
    <mergeCell ref="F80:H80"/>
    <mergeCell ref="F81:H81"/>
    <mergeCell ref="F82:H82"/>
    <mergeCell ref="I78:K78"/>
    <mergeCell ref="I79:K79"/>
    <mergeCell ref="I80:K80"/>
    <mergeCell ref="I81:K81"/>
    <mergeCell ref="I82:K82"/>
    <mergeCell ref="I73:K73"/>
    <mergeCell ref="I74:K74"/>
    <mergeCell ref="I75:K75"/>
    <mergeCell ref="I76:K76"/>
    <mergeCell ref="I77:K77"/>
    <mergeCell ref="I88:K88"/>
    <mergeCell ref="I89:K89"/>
    <mergeCell ref="I90:K90"/>
    <mergeCell ref="I91:K91"/>
    <mergeCell ref="I92:K92"/>
    <mergeCell ref="I83:K83"/>
    <mergeCell ref="I84:K84"/>
    <mergeCell ref="I85:K85"/>
    <mergeCell ref="I86:K86"/>
    <mergeCell ref="I87:K87"/>
    <mergeCell ref="L73:N73"/>
    <mergeCell ref="L74:N74"/>
    <mergeCell ref="L75:N75"/>
    <mergeCell ref="L76:N76"/>
    <mergeCell ref="L77:N77"/>
    <mergeCell ref="L68:N68"/>
    <mergeCell ref="L69:N69"/>
    <mergeCell ref="L70:N70"/>
    <mergeCell ref="L71:N71"/>
    <mergeCell ref="L72:N72"/>
    <mergeCell ref="L83:N83"/>
    <mergeCell ref="L84:N84"/>
    <mergeCell ref="L85:N85"/>
    <mergeCell ref="L86:N86"/>
    <mergeCell ref="L87:N87"/>
    <mergeCell ref="L78:N78"/>
    <mergeCell ref="L79:N79"/>
    <mergeCell ref="L80:N80"/>
    <mergeCell ref="L81:N81"/>
    <mergeCell ref="L82:N82"/>
    <mergeCell ref="L93:N93"/>
    <mergeCell ref="L94:N94"/>
    <mergeCell ref="L95:N95"/>
    <mergeCell ref="L96:N96"/>
    <mergeCell ref="L88:N88"/>
    <mergeCell ref="L89:N89"/>
    <mergeCell ref="L90:N90"/>
    <mergeCell ref="L91:N91"/>
    <mergeCell ref="L92:N92"/>
    <mergeCell ref="O73:Q73"/>
    <mergeCell ref="O74:Q74"/>
    <mergeCell ref="O75:Q75"/>
    <mergeCell ref="O76:Q76"/>
    <mergeCell ref="O77:Q77"/>
    <mergeCell ref="O68:Q68"/>
    <mergeCell ref="O69:Q69"/>
    <mergeCell ref="O70:Q70"/>
    <mergeCell ref="O71:Q71"/>
    <mergeCell ref="O72:Q72"/>
    <mergeCell ref="O92:Q92"/>
    <mergeCell ref="O83:Q83"/>
    <mergeCell ref="O84:Q84"/>
    <mergeCell ref="O85:Q85"/>
    <mergeCell ref="O86:Q86"/>
    <mergeCell ref="O87:Q87"/>
    <mergeCell ref="O78:Q78"/>
    <mergeCell ref="O79:Q79"/>
    <mergeCell ref="O80:Q80"/>
    <mergeCell ref="O81:Q81"/>
    <mergeCell ref="O82:Q82"/>
    <mergeCell ref="F97:H97"/>
    <mergeCell ref="B38:J39"/>
    <mergeCell ref="B98:L99"/>
    <mergeCell ref="B127:L128"/>
    <mergeCell ref="B156:L157"/>
    <mergeCell ref="P102:Q102"/>
    <mergeCell ref="N102:O102"/>
    <mergeCell ref="L102:M102"/>
    <mergeCell ref="J102:K102"/>
    <mergeCell ref="O93:Q93"/>
    <mergeCell ref="O94:Q94"/>
    <mergeCell ref="O95:Q95"/>
    <mergeCell ref="O96:Q96"/>
    <mergeCell ref="O97:Q97"/>
    <mergeCell ref="L97:N97"/>
    <mergeCell ref="I93:K93"/>
    <mergeCell ref="I94:K94"/>
    <mergeCell ref="I95:K95"/>
    <mergeCell ref="I96:K96"/>
    <mergeCell ref="I97:K97"/>
    <mergeCell ref="O88:Q88"/>
    <mergeCell ref="O89:Q89"/>
    <mergeCell ref="O90:Q90"/>
    <mergeCell ref="O91:Q91"/>
  </mergeCells>
  <conditionalFormatting sqref="B68:N97">
    <cfRule type="expression" dxfId="6" priority="3">
      <formula>AND($S68="Blue",$B68&lt;&gt;"")</formula>
    </cfRule>
  </conditionalFormatting>
  <conditionalFormatting sqref="B68:Q97">
    <cfRule type="expression" dxfId="5" priority="2">
      <formula>$B68&lt;&gt;""</formula>
    </cfRule>
  </conditionalFormatting>
  <conditionalFormatting sqref="O68:Q97">
    <cfRule type="expression" dxfId="4" priority="1">
      <formula>AND($B68&lt;&gt;"",$S68="Blue")</formula>
    </cfRule>
  </conditionalFormatting>
  <dataValidations count="1">
    <dataValidation type="list" allowBlank="1" showInputMessage="1" showErrorMessage="1" sqref="G103:I118 G132:I147 G161:I176" xr:uid="{BEF8EFC3-A0D1-45BD-B10B-4C4104B60F96}">
      <formula1>Child_Goal</formula1>
    </dataValidation>
  </dataValidations>
  <hyperlinks>
    <hyperlink ref="A2:A3" location="'Main Menu'!A1" tooltip="HOME" display="BACK" xr:uid="{83D6DDAA-8BC3-46EF-9458-7080736A1C8D}"/>
  </hyperlinks>
  <printOptions horizontalCentered="1"/>
  <pageMargins left="3.937007874015748E-2" right="3.937007874015748E-2" top="0.23622047244094491" bottom="0.23622047244094491" header="0.31496062992125984" footer="0.31496062992125984"/>
  <pageSetup paperSize="9" scale="96" orientation="landscape" r:id="rId1"/>
  <rowBreaks count="3" manualBreakCount="3">
    <brk id="37" min="1" max="16" man="1"/>
    <brk id="65" min="1" max="16" man="1"/>
    <brk id="97" min="1" max="16"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84922-E619-4FE3-8034-7B616F79D70E}">
  <dimension ref="A1:Q62"/>
  <sheetViews>
    <sheetView showGridLines="0" zoomScaleNormal="100" workbookViewId="0">
      <selection activeCell="A2" sqref="A2:A3"/>
    </sheetView>
  </sheetViews>
  <sheetFormatPr defaultColWidth="0" defaultRowHeight="14.5" customHeight="1" zeroHeight="1" x14ac:dyDescent="0.35"/>
  <cols>
    <col min="1" max="15" width="9.1796875" style="6" customWidth="1"/>
    <col min="16" max="16" width="1.54296875" style="6" customWidth="1"/>
    <col min="17" max="16384" width="9.1796875" style="6" hidden="1"/>
  </cols>
  <sheetData>
    <row r="1" spans="1:15" x14ac:dyDescent="0.35"/>
    <row r="2" spans="1:15" ht="14.5" customHeight="1" x14ac:dyDescent="0.35">
      <c r="A2" s="289" t="s">
        <v>5</v>
      </c>
      <c r="B2" s="290" t="s">
        <v>161</v>
      </c>
      <c r="C2" s="290"/>
      <c r="D2" s="290"/>
      <c r="E2" s="290"/>
      <c r="F2" s="290"/>
      <c r="G2" s="290"/>
      <c r="H2" s="290"/>
      <c r="N2"/>
      <c r="O2"/>
    </row>
    <row r="3" spans="1:15" ht="14.5" customHeight="1" x14ac:dyDescent="0.35">
      <c r="A3" s="289"/>
      <c r="B3" s="291"/>
      <c r="C3" s="291"/>
      <c r="D3" s="291"/>
      <c r="E3" s="291"/>
      <c r="F3" s="291"/>
      <c r="G3" s="291"/>
      <c r="H3" s="291"/>
      <c r="N3"/>
      <c r="O3"/>
    </row>
    <row r="4" spans="1:15" x14ac:dyDescent="0.35"/>
    <row r="5" spans="1:15" ht="20.149999999999999" customHeight="1" x14ac:dyDescent="0.35">
      <c r="B5" s="9" t="s">
        <v>255</v>
      </c>
      <c r="C5" s="9"/>
      <c r="D5" s="9"/>
      <c r="E5" s="279" t="str">
        <f>" "&amp;UPPER('Main Menu'!C29)</f>
        <v xml:space="preserve"> CLIENT NAME</v>
      </c>
      <c r="F5" s="279"/>
      <c r="G5" s="279"/>
      <c r="H5" s="279"/>
      <c r="I5" s="279"/>
      <c r="J5"/>
    </row>
    <row r="6" spans="1:15" ht="20.149999999999999" customHeight="1" x14ac:dyDescent="0.35">
      <c r="B6" s="9" t="s">
        <v>256</v>
      </c>
      <c r="C6" s="9"/>
      <c r="D6" s="9"/>
      <c r="E6" s="325" t="str">
        <f>" "&amp;UPPER('Main Menu'!L29)</f>
        <v xml:space="preserve"> PARTNER NAME</v>
      </c>
      <c r="F6" s="325"/>
      <c r="G6" s="325"/>
      <c r="H6" s="325"/>
      <c r="I6" s="325"/>
      <c r="J6" s="53" t="str">
        <f ca="1">"Dated: "&amp; TEXT(TODAY(),"DD-MMM-YYYY")</f>
        <v>Dated: 28-Aug-2025</v>
      </c>
    </row>
    <row r="7" spans="1:15" ht="20.149999999999999" customHeight="1" x14ac:dyDescent="0.35"/>
    <row r="8" spans="1:15" ht="20.149999999999999" customHeight="1" x14ac:dyDescent="0.35">
      <c r="B8" s="160" t="s">
        <v>162</v>
      </c>
      <c r="C8" s="12"/>
      <c r="D8" s="161">
        <v>49</v>
      </c>
      <c r="E8" s="111"/>
      <c r="F8" s="162" t="s">
        <v>163</v>
      </c>
      <c r="G8" s="148"/>
      <c r="H8" s="149"/>
      <c r="I8" s="761">
        <v>200000</v>
      </c>
      <c r="J8" s="762"/>
      <c r="K8" s="111"/>
      <c r="L8" s="111"/>
      <c r="M8" s="111"/>
      <c r="N8" s="111"/>
      <c r="O8" s="111"/>
    </row>
    <row r="9" spans="1:15" ht="20.149999999999999" customHeight="1" x14ac:dyDescent="0.35">
      <c r="B9" s="147" t="s">
        <v>335</v>
      </c>
      <c r="C9" s="148"/>
      <c r="D9" s="11"/>
      <c r="E9" s="29"/>
      <c r="F9" s="148"/>
      <c r="G9" s="648">
        <v>75000</v>
      </c>
      <c r="H9" s="649"/>
      <c r="I9" s="7" t="s">
        <v>336</v>
      </c>
      <c r="J9" s="11"/>
      <c r="K9" s="29"/>
      <c r="L9" s="29"/>
      <c r="M9" s="29"/>
      <c r="N9" s="648">
        <v>50000</v>
      </c>
      <c r="O9" s="649"/>
    </row>
    <row r="10" spans="1:15" customFormat="1" ht="20.149999999999999" customHeight="1" x14ac:dyDescent="0.35">
      <c r="B10" s="150" t="s">
        <v>164</v>
      </c>
      <c r="C10" s="82"/>
      <c r="D10" s="82"/>
      <c r="E10" s="82"/>
      <c r="F10" s="82"/>
      <c r="G10" s="82"/>
      <c r="H10" s="82"/>
      <c r="I10" s="82"/>
      <c r="J10" s="82"/>
      <c r="K10" s="82"/>
      <c r="L10" s="82"/>
      <c r="M10" s="82"/>
      <c r="N10" s="82"/>
      <c r="O10" s="82"/>
    </row>
    <row r="11" spans="1:15" ht="20.149999999999999" customHeight="1" x14ac:dyDescent="0.35">
      <c r="B11" s="751" t="s">
        <v>165</v>
      </c>
      <c r="C11" s="662"/>
      <c r="D11" s="662"/>
      <c r="E11" s="662" t="s">
        <v>166</v>
      </c>
      <c r="F11" s="662"/>
      <c r="G11" s="662" t="s">
        <v>167</v>
      </c>
      <c r="H11" s="662"/>
      <c r="I11" s="662" t="s">
        <v>168</v>
      </c>
      <c r="J11" s="662"/>
      <c r="K11" s="662" t="s">
        <v>169</v>
      </c>
      <c r="L11" s="662"/>
      <c r="M11" s="662"/>
      <c r="N11" s="662" t="s">
        <v>166</v>
      </c>
      <c r="O11" s="663"/>
    </row>
    <row r="12" spans="1:15" ht="20.149999999999999" customHeight="1" x14ac:dyDescent="0.35">
      <c r="B12" s="137" t="s">
        <v>170</v>
      </c>
      <c r="C12" s="138"/>
      <c r="D12" s="138"/>
      <c r="E12" s="763">
        <v>1000000</v>
      </c>
      <c r="F12" s="764"/>
      <c r="G12" s="137" t="s">
        <v>171</v>
      </c>
      <c r="H12" s="138"/>
      <c r="I12" s="763">
        <v>2500000</v>
      </c>
      <c r="J12" s="764"/>
      <c r="K12" s="137" t="s">
        <v>333</v>
      </c>
      <c r="L12" s="138"/>
      <c r="M12" s="138"/>
      <c r="N12" s="763">
        <v>5000000</v>
      </c>
      <c r="O12" s="764"/>
    </row>
    <row r="13" spans="1:15" ht="20.149999999999999" customHeight="1" x14ac:dyDescent="0.35">
      <c r="B13" s="7" t="s">
        <v>172</v>
      </c>
      <c r="C13" s="8"/>
      <c r="D13" s="8"/>
      <c r="E13" s="759">
        <v>2000000</v>
      </c>
      <c r="F13" s="760"/>
      <c r="G13" s="7" t="s">
        <v>173</v>
      </c>
      <c r="H13" s="8"/>
      <c r="I13" s="759">
        <v>0</v>
      </c>
      <c r="J13" s="760"/>
      <c r="K13" s="7" t="s">
        <v>334</v>
      </c>
      <c r="L13" s="8"/>
      <c r="M13" s="8"/>
      <c r="N13" s="763">
        <v>0</v>
      </c>
      <c r="O13" s="764"/>
    </row>
    <row r="14" spans="1:15" ht="20.149999999999999" customHeight="1" x14ac:dyDescent="0.35">
      <c r="B14" s="7" t="s">
        <v>59</v>
      </c>
      <c r="C14" s="8"/>
      <c r="D14" s="8"/>
      <c r="E14" s="759">
        <v>3000000</v>
      </c>
      <c r="F14" s="760"/>
      <c r="G14" s="7" t="s">
        <v>174</v>
      </c>
      <c r="H14" s="8"/>
      <c r="I14" s="759">
        <v>0</v>
      </c>
      <c r="J14" s="760"/>
      <c r="K14" s="284" t="s">
        <v>175</v>
      </c>
      <c r="L14" s="285"/>
      <c r="M14" s="285"/>
      <c r="N14" s="285" t="s">
        <v>166</v>
      </c>
      <c r="O14" s="300"/>
    </row>
    <row r="15" spans="1:15" ht="20.149999999999999" customHeight="1" x14ac:dyDescent="0.35">
      <c r="B15" s="7" t="s">
        <v>176</v>
      </c>
      <c r="C15" s="8"/>
      <c r="D15" s="8"/>
      <c r="E15" s="759">
        <v>0</v>
      </c>
      <c r="F15" s="760"/>
      <c r="G15" s="7" t="s">
        <v>177</v>
      </c>
      <c r="H15" s="8"/>
      <c r="I15" s="759">
        <v>0</v>
      </c>
      <c r="J15" s="760"/>
      <c r="K15" s="137" t="s">
        <v>178</v>
      </c>
      <c r="L15" s="138"/>
      <c r="M15" s="138"/>
      <c r="N15" s="763">
        <v>17500000</v>
      </c>
      <c r="O15" s="764"/>
    </row>
    <row r="16" spans="1:15" ht="20.149999999999999" customHeight="1" x14ac:dyDescent="0.35">
      <c r="B16" s="7" t="s">
        <v>179</v>
      </c>
      <c r="C16" s="8"/>
      <c r="D16" s="8"/>
      <c r="E16" s="759">
        <v>0</v>
      </c>
      <c r="F16" s="760"/>
      <c r="G16" s="7" t="s">
        <v>180</v>
      </c>
      <c r="H16" s="8"/>
      <c r="I16" s="759">
        <v>0</v>
      </c>
      <c r="J16" s="760"/>
      <c r="K16" s="7" t="s">
        <v>181</v>
      </c>
      <c r="L16" s="8"/>
      <c r="M16" s="8"/>
      <c r="N16" s="763">
        <v>1500000</v>
      </c>
      <c r="O16" s="764"/>
    </row>
    <row r="17" spans="2:17" ht="20.149999999999999" customHeight="1" x14ac:dyDescent="0.35">
      <c r="B17" s="7" t="s">
        <v>182</v>
      </c>
      <c r="C17" s="8"/>
      <c r="D17" s="8"/>
      <c r="E17" s="759">
        <v>0</v>
      </c>
      <c r="F17" s="760"/>
      <c r="G17" s="7" t="s">
        <v>183</v>
      </c>
      <c r="H17" s="8"/>
      <c r="I17" s="759">
        <v>0</v>
      </c>
      <c r="J17" s="760"/>
      <c r="K17" s="7" t="s">
        <v>184</v>
      </c>
      <c r="L17" s="8"/>
      <c r="M17" s="8"/>
      <c r="N17" s="763">
        <v>1000000</v>
      </c>
      <c r="O17" s="764"/>
    </row>
    <row r="18" spans="2:17" ht="20.149999999999999" customHeight="1" thickBot="1" x14ac:dyDescent="0.4">
      <c r="B18" s="111"/>
      <c r="C18" s="111"/>
      <c r="D18" s="111"/>
      <c r="E18" s="111"/>
      <c r="F18" s="111"/>
      <c r="G18" s="111"/>
      <c r="H18" s="111"/>
      <c r="I18" s="111"/>
      <c r="J18" s="111"/>
      <c r="K18" s="111"/>
      <c r="L18" s="111"/>
      <c r="M18" s="111"/>
      <c r="N18" s="111"/>
      <c r="O18" s="111"/>
    </row>
    <row r="19" spans="2:17" ht="20.149999999999999" customHeight="1" thickTop="1" x14ac:dyDescent="0.35">
      <c r="B19" s="765" t="s">
        <v>185</v>
      </c>
      <c r="C19" s="766"/>
      <c r="D19" s="766"/>
      <c r="E19" s="766"/>
      <c r="F19" s="766"/>
      <c r="G19" s="766"/>
      <c r="H19" s="767"/>
      <c r="I19" s="111"/>
      <c r="J19" s="765" t="s">
        <v>186</v>
      </c>
      <c r="K19" s="766"/>
      <c r="L19" s="766"/>
      <c r="M19" s="766"/>
      <c r="N19" s="766"/>
      <c r="O19" s="767"/>
    </row>
    <row r="20" spans="2:17" ht="20.149999999999999" customHeight="1" x14ac:dyDescent="0.35">
      <c r="B20" s="152" t="s">
        <v>187</v>
      </c>
      <c r="C20" s="153"/>
      <c r="D20" s="153"/>
      <c r="E20" s="153"/>
      <c r="F20" s="153"/>
      <c r="G20" s="781">
        <f>SUM(E12:E17,N12:N13,N15:N17)-SUM(I12:I17)</f>
        <v>28500000</v>
      </c>
      <c r="H20" s="782"/>
      <c r="I20" s="111"/>
      <c r="J20" s="152" t="s">
        <v>188</v>
      </c>
      <c r="K20" s="154"/>
      <c r="L20" s="154"/>
      <c r="M20" s="154"/>
      <c r="N20" s="772">
        <f>G9</f>
        <v>75000</v>
      </c>
      <c r="O20" s="773"/>
      <c r="Q20" s="6" t="b">
        <f>G21&lt;G22</f>
        <v>1</v>
      </c>
    </row>
    <row r="21" spans="2:17" ht="20.149999999999999" customHeight="1" x14ac:dyDescent="0.35">
      <c r="B21" s="152" t="s">
        <v>189</v>
      </c>
      <c r="C21" s="153"/>
      <c r="D21" s="153"/>
      <c r="E21" s="153"/>
      <c r="F21" s="153"/>
      <c r="G21" s="783">
        <f>SUM(E12:E17,N12:N13)-SUM(I12:I17)</f>
        <v>8500000</v>
      </c>
      <c r="H21" s="784"/>
      <c r="I21" s="111"/>
      <c r="J21" s="152" t="s">
        <v>190</v>
      </c>
      <c r="K21" s="154"/>
      <c r="L21" s="154"/>
      <c r="M21" s="154"/>
      <c r="N21" s="768">
        <f>N20/I8</f>
        <v>0.375</v>
      </c>
      <c r="O21" s="769"/>
      <c r="Q21" s="6" t="b">
        <f>N21&gt;N22</f>
        <v>1</v>
      </c>
    </row>
    <row r="22" spans="2:17" s="9" customFormat="1" ht="20.149999999999999" customHeight="1" thickBot="1" x14ac:dyDescent="0.4">
      <c r="B22" s="778" t="s">
        <v>191</v>
      </c>
      <c r="C22" s="779"/>
      <c r="D22" s="779"/>
      <c r="E22" s="779"/>
      <c r="F22" s="780"/>
      <c r="G22" s="785">
        <f>D8*(I8*12)/10</f>
        <v>11760000</v>
      </c>
      <c r="H22" s="786"/>
      <c r="I22" s="111"/>
      <c r="J22" s="155" t="s">
        <v>192</v>
      </c>
      <c r="K22" s="156"/>
      <c r="L22" s="156"/>
      <c r="M22" s="157"/>
      <c r="N22" s="774">
        <v>0.3</v>
      </c>
      <c r="O22" s="775"/>
      <c r="Q22" s="9" t="b">
        <f>G26&lt;G27</f>
        <v>1</v>
      </c>
    </row>
    <row r="23" spans="2:17" s="9" customFormat="1" ht="20.149999999999999" customHeight="1" thickTop="1" thickBot="1" x14ac:dyDescent="0.4">
      <c r="B23" s="111"/>
      <c r="C23" s="111"/>
      <c r="D23" s="111"/>
      <c r="E23" s="111"/>
      <c r="F23" s="111"/>
      <c r="G23" s="111"/>
      <c r="H23" s="111"/>
      <c r="I23" s="111"/>
      <c r="J23" s="111"/>
      <c r="K23" s="111"/>
      <c r="L23" s="111"/>
      <c r="M23" s="111"/>
      <c r="N23" s="111"/>
      <c r="O23" s="111"/>
      <c r="Q23" s="9" t="b">
        <f>N26&lt;N27</f>
        <v>1</v>
      </c>
    </row>
    <row r="24" spans="2:17" s="9" customFormat="1" ht="20.149999999999999" customHeight="1" thickTop="1" x14ac:dyDescent="0.35">
      <c r="B24" s="765" t="s">
        <v>193</v>
      </c>
      <c r="C24" s="766"/>
      <c r="D24" s="766"/>
      <c r="E24" s="766"/>
      <c r="F24" s="766"/>
      <c r="G24" s="766"/>
      <c r="H24" s="767"/>
      <c r="I24" s="111"/>
      <c r="J24" s="765" t="s">
        <v>194</v>
      </c>
      <c r="K24" s="766"/>
      <c r="L24" s="766"/>
      <c r="M24" s="766"/>
      <c r="N24" s="766"/>
      <c r="O24" s="767"/>
    </row>
    <row r="25" spans="2:17" s="9" customFormat="1" ht="20.149999999999999" customHeight="1" x14ac:dyDescent="0.35">
      <c r="B25" s="152" t="s">
        <v>195</v>
      </c>
      <c r="C25" s="8"/>
      <c r="D25" s="8"/>
      <c r="E25" s="8"/>
      <c r="F25" s="8"/>
      <c r="G25" s="772">
        <f>N9</f>
        <v>50000</v>
      </c>
      <c r="H25" s="773"/>
      <c r="I25" s="111"/>
      <c r="J25" s="152" t="s">
        <v>196</v>
      </c>
      <c r="K25" s="154"/>
      <c r="L25" s="154"/>
      <c r="M25" s="154"/>
      <c r="N25" s="776">
        <f>SUM(E12:E17)</f>
        <v>6000000</v>
      </c>
      <c r="O25" s="777"/>
    </row>
    <row r="26" spans="2:17" s="9" customFormat="1" ht="20.149999999999999" customHeight="1" x14ac:dyDescent="0.35">
      <c r="B26" s="158" t="s">
        <v>197</v>
      </c>
      <c r="C26" s="159"/>
      <c r="D26" s="159"/>
      <c r="E26" s="159"/>
      <c r="F26" s="159"/>
      <c r="G26" s="768">
        <f>G25/I8</f>
        <v>0.25</v>
      </c>
      <c r="H26" s="769"/>
      <c r="I26" s="111"/>
      <c r="J26" s="152" t="s">
        <v>198</v>
      </c>
      <c r="K26" s="154"/>
      <c r="L26" s="154"/>
      <c r="M26" s="154"/>
      <c r="N26" s="768">
        <f>N25/SUM(E12:E17,N12:N13,N15:N17)</f>
        <v>0.19354838709677419</v>
      </c>
      <c r="O26" s="769"/>
    </row>
    <row r="27" spans="2:17" s="9" customFormat="1" ht="20.149999999999999" customHeight="1" thickBot="1" x14ac:dyDescent="0.4">
      <c r="B27" s="155" t="s">
        <v>199</v>
      </c>
      <c r="C27" s="156"/>
      <c r="D27" s="156"/>
      <c r="E27" s="156"/>
      <c r="F27" s="157"/>
      <c r="G27" s="774">
        <f>IF(D8&lt;=25,10%, IF(D8&lt;=35,20%,35%))</f>
        <v>0.35</v>
      </c>
      <c r="H27" s="775"/>
      <c r="I27" s="111"/>
      <c r="J27" s="155" t="s">
        <v>199</v>
      </c>
      <c r="K27" s="156"/>
      <c r="L27" s="156"/>
      <c r="M27" s="157"/>
      <c r="N27" s="770">
        <v>0.2</v>
      </c>
      <c r="O27" s="771"/>
    </row>
    <row r="28" spans="2:17" s="9" customFormat="1" ht="20.149999999999999" customHeight="1" thickTop="1" x14ac:dyDescent="0.35">
      <c r="B28" s="6"/>
      <c r="C28" s="6"/>
      <c r="D28" s="6"/>
      <c r="E28" s="6"/>
      <c r="F28" s="6"/>
      <c r="G28" s="6"/>
      <c r="H28" s="6"/>
      <c r="I28" s="6"/>
      <c r="J28" s="6"/>
      <c r="K28" s="6"/>
      <c r="L28" s="6"/>
      <c r="M28" s="6"/>
      <c r="N28" s="6"/>
      <c r="O28" s="6"/>
    </row>
    <row r="29" spans="2:17" s="9" customFormat="1" ht="20.149999999999999" hidden="1" customHeight="1" x14ac:dyDescent="0.35">
      <c r="B29" s="6"/>
      <c r="C29" s="6"/>
      <c r="D29" s="6"/>
      <c r="E29" s="6"/>
      <c r="F29" s="6"/>
      <c r="G29" s="6"/>
      <c r="H29" s="6"/>
      <c r="I29" s="6"/>
      <c r="J29" s="6"/>
      <c r="K29" s="6"/>
      <c r="L29" s="6"/>
      <c r="M29" s="6"/>
      <c r="N29" s="6"/>
      <c r="O29" s="6"/>
    </row>
    <row r="30" spans="2:17" s="9" customFormat="1" ht="20.149999999999999" hidden="1" customHeight="1" x14ac:dyDescent="0.35">
      <c r="B30" s="6"/>
      <c r="C30" s="6"/>
      <c r="D30" s="6"/>
      <c r="E30" s="6"/>
      <c r="F30" s="6"/>
      <c r="G30" s="6"/>
      <c r="H30" s="6"/>
      <c r="I30" s="6"/>
      <c r="J30" s="6"/>
      <c r="K30" s="6"/>
      <c r="L30" s="6"/>
      <c r="M30" s="6"/>
      <c r="N30" s="6"/>
      <c r="O30" s="6"/>
    </row>
    <row r="31" spans="2:17" s="9" customFormat="1" ht="20.149999999999999" hidden="1" customHeight="1" x14ac:dyDescent="0.35">
      <c r="B31" s="6"/>
      <c r="C31" s="6"/>
      <c r="D31" s="6"/>
      <c r="E31" s="6"/>
      <c r="F31" s="6"/>
      <c r="G31" s="6"/>
      <c r="H31" s="6"/>
      <c r="I31" s="6"/>
      <c r="J31" s="6"/>
      <c r="K31" s="6"/>
      <c r="L31" s="6"/>
      <c r="M31" s="6"/>
      <c r="N31" s="6"/>
      <c r="O31" s="6"/>
    </row>
    <row r="32" spans="2:17" s="9" customFormat="1" ht="20.149999999999999" hidden="1" customHeight="1" x14ac:dyDescent="0.35">
      <c r="B32" s="6"/>
      <c r="C32" s="6"/>
      <c r="D32" s="6"/>
      <c r="E32" s="6"/>
      <c r="F32" s="6"/>
      <c r="G32" s="6"/>
      <c r="H32" s="6"/>
      <c r="I32" s="6"/>
      <c r="J32" s="6"/>
      <c r="K32" s="6"/>
      <c r="L32" s="6"/>
      <c r="M32" s="6"/>
      <c r="N32" s="6"/>
      <c r="O32" s="6"/>
    </row>
    <row r="33" spans="2:15" s="9" customFormat="1" ht="20.149999999999999" hidden="1" customHeight="1" x14ac:dyDescent="0.35">
      <c r="B33" s="6"/>
      <c r="C33" s="6"/>
      <c r="D33" s="6"/>
      <c r="E33" s="6"/>
      <c r="F33" s="6"/>
      <c r="G33" s="6"/>
      <c r="H33" s="6"/>
      <c r="I33" s="6"/>
      <c r="J33" s="6"/>
      <c r="K33" s="6"/>
      <c r="L33" s="6"/>
      <c r="M33" s="6"/>
      <c r="N33" s="6"/>
      <c r="O33" s="6"/>
    </row>
    <row r="34" spans="2:15" s="9" customFormat="1" ht="20.149999999999999" hidden="1" customHeight="1" x14ac:dyDescent="0.35"/>
    <row r="35" spans="2:15" s="9" customFormat="1" ht="20.149999999999999" hidden="1" customHeight="1" x14ac:dyDescent="0.35"/>
    <row r="36" spans="2:15" s="9" customFormat="1" ht="20.149999999999999" hidden="1" customHeight="1" x14ac:dyDescent="0.35"/>
    <row r="37" spans="2:15" hidden="1" x14ac:dyDescent="0.35"/>
    <row r="38" spans="2:15" hidden="1" x14ac:dyDescent="0.35"/>
    <row r="39" spans="2:15" hidden="1" x14ac:dyDescent="0.35"/>
    <row r="40" spans="2:15" hidden="1" x14ac:dyDescent="0.35"/>
    <row r="41" spans="2:15" hidden="1" x14ac:dyDescent="0.35"/>
    <row r="42" spans="2:15" hidden="1" x14ac:dyDescent="0.35"/>
    <row r="43" spans="2:15" hidden="1" x14ac:dyDescent="0.35"/>
    <row r="44" spans="2:15" hidden="1" x14ac:dyDescent="0.35"/>
    <row r="45" spans="2:15" hidden="1" x14ac:dyDescent="0.35"/>
    <row r="46" spans="2:15" hidden="1" x14ac:dyDescent="0.35"/>
    <row r="47" spans="2:15" hidden="1" x14ac:dyDescent="0.35"/>
    <row r="48" spans="2:15" hidden="1" x14ac:dyDescent="0.35"/>
    <row r="49" hidden="1" x14ac:dyDescent="0.35"/>
    <row r="50" hidden="1" x14ac:dyDescent="0.35"/>
    <row r="51" hidden="1" x14ac:dyDescent="0.35"/>
    <row r="52" hidden="1" x14ac:dyDescent="0.35"/>
    <row r="53" hidden="1" x14ac:dyDescent="0.35"/>
    <row r="54" hidden="1" x14ac:dyDescent="0.35"/>
    <row r="55" hidden="1" x14ac:dyDescent="0.35"/>
    <row r="56" hidden="1" x14ac:dyDescent="0.35"/>
    <row r="57" hidden="1" x14ac:dyDescent="0.35"/>
    <row r="58" hidden="1" x14ac:dyDescent="0.35"/>
    <row r="59" hidden="1" x14ac:dyDescent="0.35"/>
    <row r="60" hidden="1" x14ac:dyDescent="0.35"/>
    <row r="61" hidden="1" x14ac:dyDescent="0.35"/>
    <row r="62" hidden="1" x14ac:dyDescent="0.35"/>
  </sheetData>
  <sheetProtection algorithmName="SHA-512" hashValue="A5s4M0VwzFAEKFJmiR+/osIXE7Msa6QrP0dTw3JiYDmDPUCx739fJ8nOWeHKht/BmfiUz1w3jI/vCb+f/CDV+g==" saltValue="zJVbXaz9c1MTifUD60Nlgg==" spinCount="100000" sheet="1" objects="1" scenarios="1"/>
  <mergeCells count="49">
    <mergeCell ref="K11:M11"/>
    <mergeCell ref="I11:J11"/>
    <mergeCell ref="B22:F22"/>
    <mergeCell ref="N20:O20"/>
    <mergeCell ref="N21:O21"/>
    <mergeCell ref="N22:O22"/>
    <mergeCell ref="G20:H20"/>
    <mergeCell ref="G21:H21"/>
    <mergeCell ref="G22:H22"/>
    <mergeCell ref="E12:F12"/>
    <mergeCell ref="E13:F13"/>
    <mergeCell ref="N9:O9"/>
    <mergeCell ref="B19:H19"/>
    <mergeCell ref="J19:O19"/>
    <mergeCell ref="I16:J16"/>
    <mergeCell ref="I17:J17"/>
    <mergeCell ref="N11:O11"/>
    <mergeCell ref="N12:O12"/>
    <mergeCell ref="N13:O13"/>
    <mergeCell ref="N14:O14"/>
    <mergeCell ref="N15:O15"/>
    <mergeCell ref="N16:O16"/>
    <mergeCell ref="N17:O17"/>
    <mergeCell ref="I15:J15"/>
    <mergeCell ref="K14:M14"/>
    <mergeCell ref="G11:H11"/>
    <mergeCell ref="E11:F11"/>
    <mergeCell ref="N26:O26"/>
    <mergeCell ref="N27:O27"/>
    <mergeCell ref="G25:H25"/>
    <mergeCell ref="G26:H26"/>
    <mergeCell ref="G27:H27"/>
    <mergeCell ref="N25:O25"/>
    <mergeCell ref="B24:H24"/>
    <mergeCell ref="J24:O24"/>
    <mergeCell ref="E15:F15"/>
    <mergeCell ref="E16:F16"/>
    <mergeCell ref="E17:F17"/>
    <mergeCell ref="A2:A3"/>
    <mergeCell ref="B2:H3"/>
    <mergeCell ref="E14:F14"/>
    <mergeCell ref="I8:J8"/>
    <mergeCell ref="B11:D11"/>
    <mergeCell ref="E5:I5"/>
    <mergeCell ref="E6:I6"/>
    <mergeCell ref="G9:H9"/>
    <mergeCell ref="I12:J12"/>
    <mergeCell ref="I13:J13"/>
    <mergeCell ref="I14:J14"/>
  </mergeCells>
  <conditionalFormatting sqref="G26">
    <cfRule type="expression" dxfId="3" priority="3">
      <formula>$Q$22=TRUE</formula>
    </cfRule>
  </conditionalFormatting>
  <conditionalFormatting sqref="G21:H21">
    <cfRule type="expression" dxfId="2" priority="7">
      <formula>$Q$20=TRUE</formula>
    </cfRule>
  </conditionalFormatting>
  <conditionalFormatting sqref="N21:O21">
    <cfRule type="expression" dxfId="1" priority="4">
      <formula>$Q$21=TRUE</formula>
    </cfRule>
  </conditionalFormatting>
  <conditionalFormatting sqref="N26:O26">
    <cfRule type="expression" dxfId="0" priority="1">
      <formula>$Q$23=TRUE</formula>
    </cfRule>
  </conditionalFormatting>
  <hyperlinks>
    <hyperlink ref="A2:A3" location="'Main Menu'!A1" tooltip="HOME" display="BACK" xr:uid="{32DD36D9-D072-4123-B561-4CAB6D838F34}"/>
  </hyperlinks>
  <printOptions horizontalCentered="1"/>
  <pageMargins left="0.23622047244094491" right="0.23622047244094491" top="0.23622047244094491" bottom="0.23622047244094491" header="0.31496062992125984" footer="0.31496062992125984"/>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3D2F6-6DB7-41BB-9151-D73195ADF950}">
  <dimension ref="A1:AA386"/>
  <sheetViews>
    <sheetView showGridLines="0" zoomScaleNormal="100" workbookViewId="0">
      <selection activeCell="A2" sqref="A2:A3"/>
    </sheetView>
  </sheetViews>
  <sheetFormatPr defaultColWidth="0" defaultRowHeight="0" customHeight="1" zeroHeight="1" x14ac:dyDescent="0.35"/>
  <cols>
    <col min="1" max="15" width="9.1796875" style="6" customWidth="1"/>
    <col min="16" max="16" width="2.1796875" style="6" customWidth="1"/>
    <col min="17" max="18" width="9.1796875" style="6" hidden="1" customWidth="1"/>
    <col min="19" max="19" width="10.453125" style="48" hidden="1" customWidth="1"/>
    <col min="20" max="20" width="9.1796875" style="48" hidden="1" customWidth="1"/>
    <col min="21" max="21" width="20.1796875" style="6" hidden="1" customWidth="1"/>
    <col min="22" max="22" width="14" style="6" hidden="1" customWidth="1"/>
    <col min="23" max="23" width="15.453125" style="6" hidden="1" customWidth="1"/>
    <col min="24" max="24" width="13.7265625" style="6" hidden="1" customWidth="1"/>
    <col min="25" max="26" width="18.26953125" style="6" hidden="1" customWidth="1"/>
    <col min="27" max="27" width="19.1796875" style="6" hidden="1" customWidth="1"/>
    <col min="28" max="16384" width="9.1796875" style="6" hidden="1"/>
  </cols>
  <sheetData>
    <row r="1" spans="1:27" ht="14.5" x14ac:dyDescent="0.35"/>
    <row r="2" spans="1:27" ht="14.5" customHeight="1" x14ac:dyDescent="0.35">
      <c r="A2" s="289" t="s">
        <v>5</v>
      </c>
      <c r="B2" s="290" t="s">
        <v>332</v>
      </c>
      <c r="C2" s="290"/>
      <c r="D2" s="290"/>
      <c r="E2" s="290"/>
      <c r="F2" s="290"/>
      <c r="G2" s="290"/>
      <c r="H2" s="290"/>
      <c r="I2" s="290"/>
      <c r="J2" s="76"/>
      <c r="K2" s="76"/>
      <c r="L2" s="76"/>
      <c r="N2"/>
      <c r="O2"/>
    </row>
    <row r="3" spans="1:27" ht="14.5" customHeight="1" x14ac:dyDescent="0.35">
      <c r="A3" s="289"/>
      <c r="B3" s="338"/>
      <c r="C3" s="338"/>
      <c r="D3" s="338"/>
      <c r="E3" s="338"/>
      <c r="F3" s="338"/>
      <c r="G3" s="338"/>
      <c r="H3" s="338"/>
      <c r="I3" s="338"/>
      <c r="J3" s="76"/>
      <c r="K3" s="76"/>
      <c r="L3" s="76"/>
      <c r="N3"/>
      <c r="O3"/>
      <c r="S3" s="48">
        <f>VLOOKUP(G12,S6:AA55,9,0)</f>
        <v>53681538.867981948</v>
      </c>
    </row>
    <row r="4" spans="1:27" ht="14.5" x14ac:dyDescent="0.35">
      <c r="Q4"/>
      <c r="R4"/>
      <c r="S4" s="80"/>
    </row>
    <row r="5" spans="1:27" ht="20.149999999999999" customHeight="1" x14ac:dyDescent="0.35">
      <c r="B5" s="9" t="s">
        <v>255</v>
      </c>
      <c r="C5" s="9"/>
      <c r="D5" s="279" t="str">
        <f>" "&amp;UPPER('Main Menu'!C29)</f>
        <v xml:space="preserve"> CLIENT NAME</v>
      </c>
      <c r="E5" s="279"/>
      <c r="F5" s="279"/>
      <c r="G5" s="279"/>
      <c r="H5" s="279"/>
      <c r="I5"/>
      <c r="J5"/>
      <c r="K5"/>
      <c r="L5"/>
      <c r="N5"/>
      <c r="O5"/>
      <c r="S5" s="17" t="s">
        <v>222</v>
      </c>
      <c r="T5" s="17" t="s">
        <v>223</v>
      </c>
      <c r="U5" s="17" t="s">
        <v>224</v>
      </c>
      <c r="V5" s="17" t="s">
        <v>225</v>
      </c>
      <c r="W5" s="17" t="s">
        <v>226</v>
      </c>
      <c r="X5" s="17" t="s">
        <v>227</v>
      </c>
      <c r="Y5" s="17" t="s">
        <v>228</v>
      </c>
      <c r="Z5" s="17" t="s">
        <v>10</v>
      </c>
      <c r="AA5" s="17" t="s">
        <v>229</v>
      </c>
    </row>
    <row r="6" spans="1:27" ht="20.149999999999999" customHeight="1" x14ac:dyDescent="0.35">
      <c r="B6" s="9" t="s">
        <v>256</v>
      </c>
      <c r="C6" s="9"/>
      <c r="D6" s="325" t="str">
        <f>" "&amp;UPPER('Main Menu'!L29)</f>
        <v xml:space="preserve"> PARTNER NAME</v>
      </c>
      <c r="E6" s="325"/>
      <c r="F6" s="325"/>
      <c r="G6" s="325"/>
      <c r="H6" s="325"/>
      <c r="I6" s="53" t="str">
        <f ca="1">"Dated: "&amp; TEXT(TODAY(),"DD-MMM-YYYY")</f>
        <v>Dated: 28-Aug-2025</v>
      </c>
      <c r="J6"/>
      <c r="K6"/>
      <c r="L6"/>
      <c r="S6" s="19">
        <v>1</v>
      </c>
      <c r="T6" s="19">
        <f>G11+1</f>
        <v>36</v>
      </c>
      <c r="U6" s="18">
        <f>G9</f>
        <v>15000</v>
      </c>
      <c r="V6" s="18">
        <f>N10</f>
        <v>10915</v>
      </c>
      <c r="W6" s="81">
        <f>V6/12</f>
        <v>909.58333333333337</v>
      </c>
      <c r="X6" s="18">
        <f>N12</f>
        <v>18379</v>
      </c>
      <c r="Y6" s="20">
        <f>IF(S6="","",X6/12)</f>
        <v>1531.5833333333333</v>
      </c>
      <c r="Z6" s="18">
        <f>IF(S6="","",U6-(W6+Y6))</f>
        <v>12558.833333333334</v>
      </c>
      <c r="AA6" s="20">
        <f>IF(S6="","",FV((1+$G$13)^(1/12)-1,12,-Z6,IF(ISNUMBER(AA5),-AA5,0),1))</f>
        <v>160332.31948135691</v>
      </c>
    </row>
    <row r="7" spans="1:27" customFormat="1" ht="20.149999999999999" customHeight="1" x14ac:dyDescent="0.35">
      <c r="S7" s="19">
        <f>IF(S6="","",IF(S6+1&lt;=$G$12,S6+1,""))</f>
        <v>2</v>
      </c>
      <c r="T7" s="19">
        <f>IF(S7="","",T6+1)</f>
        <v>37</v>
      </c>
      <c r="U7" s="18">
        <f>IF(S7="","",U6*(1+$G$10))</f>
        <v>16500</v>
      </c>
      <c r="V7" s="18">
        <f>IF(S7="","",V6)</f>
        <v>10915</v>
      </c>
      <c r="W7" s="81">
        <f>IF(S7="","",V7/12)</f>
        <v>909.58333333333337</v>
      </c>
      <c r="X7" s="20">
        <f>IF(S7="","",X6*(1+$N$13))</f>
        <v>19297.95</v>
      </c>
      <c r="Y7" s="20">
        <f>IF(S7="","",X7/12)</f>
        <v>1608.1625000000001</v>
      </c>
      <c r="Z7" s="18">
        <f>IF(S7="","",U7-(W7+Y7))</f>
        <v>13982.254166666666</v>
      </c>
      <c r="AA7" s="20">
        <f>IF(S7="","",FV((1+$G$13)^(1/12)-1,12,-Z7,IF(ISNUMBER(AA6),-AA6,0),1))</f>
        <v>358076.61639193329</v>
      </c>
    </row>
    <row r="8" spans="1:27" customFormat="1" ht="20.149999999999999" customHeight="1" x14ac:dyDescent="0.35">
      <c r="B8" s="140" t="str">
        <f>UPPER("Personal and investment details")</f>
        <v>PERSONAL AND INVESTMENT DETAILS</v>
      </c>
      <c r="C8" s="141"/>
      <c r="D8" s="141"/>
      <c r="E8" s="141"/>
      <c r="F8" s="141"/>
      <c r="J8" s="140" t="str">
        <f>UPPER("Insurance details")</f>
        <v>INSURANCE DETAILS</v>
      </c>
      <c r="K8" s="141"/>
      <c r="L8" s="141"/>
      <c r="M8" s="141"/>
      <c r="S8" s="19">
        <f t="shared" ref="S8:S55" si="0">IF(S7="","",IF(S7+1&lt;=$G$12,S7+1,""))</f>
        <v>3</v>
      </c>
      <c r="T8" s="19">
        <f t="shared" ref="T8:T55" si="1">IF(S8="","",T7+1)</f>
        <v>38</v>
      </c>
      <c r="U8" s="18">
        <f t="shared" ref="U8:U55" si="2">IF(S8="","",U7*(1+$G$10))</f>
        <v>18150</v>
      </c>
      <c r="V8" s="18">
        <f t="shared" ref="V8:V55" si="3">IF(S8="","",V7)</f>
        <v>10915</v>
      </c>
      <c r="W8" s="81">
        <f t="shared" ref="W8:W55" si="4">IF(S8="","",V8/12)</f>
        <v>909.58333333333337</v>
      </c>
      <c r="X8" s="20">
        <f t="shared" ref="X8:X55" si="5">IF(S8="","",X7*(1+$N$13))</f>
        <v>20262.8475</v>
      </c>
      <c r="Y8" s="20">
        <f t="shared" ref="Y8:Y55" si="6">IF(S8="","",X8/12)</f>
        <v>1688.5706250000001</v>
      </c>
      <c r="Z8" s="18">
        <f t="shared" ref="Z8:Z55" si="7">IF(S8="","",U8-(W8+Y8))</f>
        <v>15551.846041666668</v>
      </c>
      <c r="AA8" s="20">
        <f t="shared" ref="AA8:AA55" si="8">IF(S8="","",FV((1+$G$13)^(1/12)-1,12,-Z8,IF(ISNUMBER(AA7),-AA7,0),1))</f>
        <v>599588.42032093485</v>
      </c>
    </row>
    <row r="9" spans="1:27" ht="20.149999999999999" customHeight="1" x14ac:dyDescent="0.35">
      <c r="B9" s="142" t="s">
        <v>217</v>
      </c>
      <c r="C9" s="8"/>
      <c r="D9" s="8"/>
      <c r="E9" s="8"/>
      <c r="F9" s="8"/>
      <c r="G9" s="294">
        <v>15000</v>
      </c>
      <c r="H9" s="787"/>
      <c r="J9" s="145" t="s">
        <v>215</v>
      </c>
      <c r="K9" s="29"/>
      <c r="L9" s="143"/>
      <c r="M9" s="143"/>
      <c r="N9" s="293">
        <v>5000000</v>
      </c>
      <c r="O9" s="294"/>
      <c r="Q9"/>
      <c r="R9"/>
      <c r="S9" s="19">
        <f t="shared" si="0"/>
        <v>4</v>
      </c>
      <c r="T9" s="19">
        <f t="shared" si="1"/>
        <v>39</v>
      </c>
      <c r="U9" s="18">
        <f t="shared" si="2"/>
        <v>19965</v>
      </c>
      <c r="V9" s="18">
        <f t="shared" si="3"/>
        <v>10915</v>
      </c>
      <c r="W9" s="81">
        <f t="shared" si="4"/>
        <v>909.58333333333337</v>
      </c>
      <c r="X9" s="20">
        <f t="shared" si="5"/>
        <v>21275.989874999999</v>
      </c>
      <c r="Y9" s="20">
        <f t="shared" si="6"/>
        <v>1772.9991562499999</v>
      </c>
      <c r="Z9" s="18">
        <f t="shared" si="7"/>
        <v>17282.417510416668</v>
      </c>
      <c r="AA9" s="20">
        <f t="shared" si="8"/>
        <v>892174.97775746952</v>
      </c>
    </row>
    <row r="10" spans="1:27" ht="20.149999999999999" customHeight="1" x14ac:dyDescent="0.35">
      <c r="B10" s="7" t="s">
        <v>218</v>
      </c>
      <c r="C10" s="8"/>
      <c r="D10" s="8"/>
      <c r="E10" s="8"/>
      <c r="F10" s="8"/>
      <c r="G10" s="281">
        <v>0.1</v>
      </c>
      <c r="H10" s="788"/>
      <c r="J10" s="144" t="s">
        <v>219</v>
      </c>
      <c r="K10" s="29"/>
      <c r="L10" s="143"/>
      <c r="M10" s="143"/>
      <c r="N10" s="293">
        <v>10915</v>
      </c>
      <c r="O10" s="294"/>
      <c r="Q10"/>
      <c r="R10"/>
      <c r="S10" s="19">
        <f t="shared" si="0"/>
        <v>5</v>
      </c>
      <c r="T10" s="19">
        <f t="shared" si="1"/>
        <v>40</v>
      </c>
      <c r="U10" s="18">
        <f t="shared" si="2"/>
        <v>21961.5</v>
      </c>
      <c r="V10" s="18">
        <f t="shared" si="3"/>
        <v>10915</v>
      </c>
      <c r="W10" s="81">
        <f t="shared" si="4"/>
        <v>909.58333333333337</v>
      </c>
      <c r="X10" s="20">
        <f t="shared" si="5"/>
        <v>22339.78936875</v>
      </c>
      <c r="Y10" s="20">
        <f t="shared" si="6"/>
        <v>1861.6491140625001</v>
      </c>
      <c r="Z10" s="18">
        <f t="shared" si="7"/>
        <v>19190.267552604168</v>
      </c>
      <c r="AA10" s="20">
        <f t="shared" si="8"/>
        <v>1244228.4856594272</v>
      </c>
    </row>
    <row r="11" spans="1:27" ht="20.149999999999999" customHeight="1" x14ac:dyDescent="0.35">
      <c r="B11" s="7" t="s">
        <v>213</v>
      </c>
      <c r="C11" s="8"/>
      <c r="D11" s="8"/>
      <c r="E11" s="8"/>
      <c r="F11" s="8"/>
      <c r="G11" s="294">
        <v>35</v>
      </c>
      <c r="H11" s="787"/>
      <c r="J11" s="145" t="s">
        <v>214</v>
      </c>
      <c r="K11" s="29"/>
      <c r="L11" s="143"/>
      <c r="M11" s="143"/>
      <c r="N11" s="293">
        <v>1000000</v>
      </c>
      <c r="O11" s="294"/>
      <c r="Q11"/>
      <c r="R11"/>
      <c r="S11" s="19">
        <f t="shared" si="0"/>
        <v>6</v>
      </c>
      <c r="T11" s="19">
        <f t="shared" si="1"/>
        <v>41</v>
      </c>
      <c r="U11" s="18">
        <f t="shared" si="2"/>
        <v>24157.65</v>
      </c>
      <c r="V11" s="18">
        <f t="shared" si="3"/>
        <v>10915</v>
      </c>
      <c r="W11" s="81">
        <f t="shared" si="4"/>
        <v>909.58333333333337</v>
      </c>
      <c r="X11" s="20">
        <f t="shared" si="5"/>
        <v>23456.778837187499</v>
      </c>
      <c r="Y11" s="20">
        <f t="shared" si="6"/>
        <v>1954.731569765625</v>
      </c>
      <c r="Z11" s="18">
        <f t="shared" si="7"/>
        <v>21293.335096901043</v>
      </c>
      <c r="AA11" s="20">
        <f t="shared" si="8"/>
        <v>1665377.221915012</v>
      </c>
    </row>
    <row r="12" spans="1:27" customFormat="1" ht="20.149999999999999" customHeight="1" x14ac:dyDescent="0.35">
      <c r="B12" s="7" t="s">
        <v>216</v>
      </c>
      <c r="C12" s="143"/>
      <c r="D12" s="143"/>
      <c r="E12" s="143"/>
      <c r="F12" s="143"/>
      <c r="G12" s="294">
        <v>25</v>
      </c>
      <c r="H12" s="787"/>
      <c r="I12" s="6"/>
      <c r="J12" s="144" t="s">
        <v>373</v>
      </c>
      <c r="K12" s="29"/>
      <c r="L12" s="143"/>
      <c r="M12" s="143"/>
      <c r="N12" s="293">
        <v>18379</v>
      </c>
      <c r="O12" s="294"/>
      <c r="S12" s="19">
        <f t="shared" si="0"/>
        <v>7</v>
      </c>
      <c r="T12" s="19">
        <f t="shared" si="1"/>
        <v>42</v>
      </c>
      <c r="U12" s="18">
        <f t="shared" si="2"/>
        <v>26573.415000000005</v>
      </c>
      <c r="V12" s="18">
        <f t="shared" si="3"/>
        <v>10915</v>
      </c>
      <c r="W12" s="81">
        <f t="shared" si="4"/>
        <v>909.58333333333337</v>
      </c>
      <c r="X12" s="20">
        <f t="shared" si="5"/>
        <v>24629.617779046876</v>
      </c>
      <c r="Y12" s="20">
        <f t="shared" si="6"/>
        <v>2052.4681482539063</v>
      </c>
      <c r="Z12" s="18">
        <f t="shared" si="7"/>
        <v>23611.363518412763</v>
      </c>
      <c r="AA12" s="20">
        <f t="shared" si="8"/>
        <v>2166656.9115160005</v>
      </c>
    </row>
    <row r="13" spans="1:27" customFormat="1" ht="19.5" customHeight="1" x14ac:dyDescent="0.35">
      <c r="B13" s="144" t="s">
        <v>221</v>
      </c>
      <c r="C13" s="143"/>
      <c r="D13" s="143"/>
      <c r="E13" s="143"/>
      <c r="F13" s="143"/>
      <c r="G13" s="281">
        <v>0.12</v>
      </c>
      <c r="H13" s="788"/>
      <c r="I13" s="79"/>
      <c r="J13" s="144" t="s">
        <v>372</v>
      </c>
      <c r="K13" s="29"/>
      <c r="L13" s="143"/>
      <c r="M13" s="143"/>
      <c r="N13" s="281">
        <v>0.05</v>
      </c>
      <c r="O13" s="788"/>
      <c r="S13" s="19">
        <f t="shared" si="0"/>
        <v>8</v>
      </c>
      <c r="T13" s="19">
        <f t="shared" si="1"/>
        <v>43</v>
      </c>
      <c r="U13" s="18">
        <f t="shared" si="2"/>
        <v>29230.756500000007</v>
      </c>
      <c r="V13" s="18">
        <f t="shared" si="3"/>
        <v>10915</v>
      </c>
      <c r="W13" s="81">
        <f t="shared" si="4"/>
        <v>909.58333333333337</v>
      </c>
      <c r="X13" s="20">
        <f t="shared" si="5"/>
        <v>25861.09866799922</v>
      </c>
      <c r="Y13" s="20">
        <f t="shared" si="6"/>
        <v>2155.0915556666018</v>
      </c>
      <c r="Z13" s="18">
        <f t="shared" si="7"/>
        <v>26166.081611000071</v>
      </c>
      <c r="AA13" s="20">
        <f t="shared" si="8"/>
        <v>2760704.9670545561</v>
      </c>
    </row>
    <row r="14" spans="1:27" customFormat="1" ht="20.149999999999999" customHeight="1" thickBot="1" x14ac:dyDescent="0.4">
      <c r="B14" s="79"/>
      <c r="C14" s="79"/>
      <c r="D14" s="79"/>
      <c r="E14" s="79"/>
      <c r="F14" s="79"/>
      <c r="G14" s="79"/>
      <c r="H14" s="79"/>
      <c r="I14" s="79"/>
      <c r="J14" s="79"/>
      <c r="K14" s="79"/>
      <c r="L14" s="79"/>
      <c r="M14" s="79"/>
      <c r="N14" s="79"/>
      <c r="O14" s="79"/>
      <c r="S14" s="19">
        <f t="shared" si="0"/>
        <v>9</v>
      </c>
      <c r="T14" s="19">
        <f t="shared" si="1"/>
        <v>44</v>
      </c>
      <c r="U14" s="18">
        <f t="shared" si="2"/>
        <v>32153.832150000009</v>
      </c>
      <c r="V14" s="18">
        <f t="shared" si="3"/>
        <v>10915</v>
      </c>
      <c r="W14" s="81">
        <f t="shared" si="4"/>
        <v>909.58333333333337</v>
      </c>
      <c r="X14" s="20">
        <f t="shared" si="5"/>
        <v>27154.153601399183</v>
      </c>
      <c r="Y14" s="20">
        <f t="shared" si="6"/>
        <v>2262.846133449932</v>
      </c>
      <c r="Z14" s="18">
        <f t="shared" si="7"/>
        <v>28981.402683216744</v>
      </c>
      <c r="AA14" s="20">
        <f t="shared" si="8"/>
        <v>3461980.5798375364</v>
      </c>
    </row>
    <row r="15" spans="1:27" customFormat="1" ht="20.149999999999999" customHeight="1" thickTop="1" thickBot="1" x14ac:dyDescent="0.4">
      <c r="B15" s="146" t="s">
        <v>388</v>
      </c>
      <c r="C15" s="6"/>
      <c r="D15" s="6"/>
      <c r="E15" s="6"/>
      <c r="F15" s="6"/>
      <c r="G15" s="795">
        <f>G9</f>
        <v>15000</v>
      </c>
      <c r="H15" s="796"/>
      <c r="I15" s="796"/>
      <c r="J15" s="797"/>
      <c r="K15" s="146" t="str">
        <f>" by your age of "&amp;G11+G12&amp;", you'll get all of the below:"</f>
        <v xml:space="preserve"> by your age of 60, you'll get all of the below:</v>
      </c>
      <c r="L15" s="6"/>
      <c r="M15" s="6"/>
      <c r="N15" s="6"/>
      <c r="O15" s="6"/>
      <c r="S15" s="19">
        <f t="shared" si="0"/>
        <v>10</v>
      </c>
      <c r="T15" s="19">
        <f t="shared" si="1"/>
        <v>45</v>
      </c>
      <c r="U15" s="18">
        <f t="shared" si="2"/>
        <v>35369.215365000011</v>
      </c>
      <c r="V15" s="18">
        <f t="shared" si="3"/>
        <v>10915</v>
      </c>
      <c r="W15" s="81">
        <f t="shared" si="4"/>
        <v>909.58333333333337</v>
      </c>
      <c r="X15" s="20">
        <f t="shared" si="5"/>
        <v>28511.861281469144</v>
      </c>
      <c r="Y15" s="20">
        <f t="shared" si="6"/>
        <v>2375.9884401224285</v>
      </c>
      <c r="Z15" s="18">
        <f t="shared" si="7"/>
        <v>32083.643591544249</v>
      </c>
      <c r="AA15" s="20">
        <f t="shared" si="8"/>
        <v>4287014.0182218459</v>
      </c>
    </row>
    <row r="16" spans="1:27" customFormat="1" ht="20.149999999999999" customHeight="1" thickTop="1" x14ac:dyDescent="0.35">
      <c r="B16" s="6"/>
      <c r="C16" s="6"/>
      <c r="D16" s="6"/>
      <c r="E16" s="6"/>
      <c r="F16" s="6"/>
      <c r="G16" s="6"/>
      <c r="H16" s="6"/>
      <c r="I16" s="6"/>
      <c r="J16" s="6"/>
      <c r="K16" s="6"/>
      <c r="L16" s="6"/>
      <c r="M16" s="6"/>
      <c r="N16" s="6"/>
      <c r="O16" s="6"/>
      <c r="S16" s="19">
        <f t="shared" si="0"/>
        <v>11</v>
      </c>
      <c r="T16" s="19">
        <f t="shared" si="1"/>
        <v>46</v>
      </c>
      <c r="U16" s="18">
        <f t="shared" si="2"/>
        <v>38906.136901500016</v>
      </c>
      <c r="V16" s="18">
        <f t="shared" si="3"/>
        <v>10915</v>
      </c>
      <c r="W16" s="81">
        <f t="shared" si="4"/>
        <v>909.58333333333337</v>
      </c>
      <c r="X16" s="20">
        <f t="shared" si="5"/>
        <v>29937.454345542603</v>
      </c>
      <c r="Y16" s="20">
        <f t="shared" si="6"/>
        <v>2494.7878621285504</v>
      </c>
      <c r="Z16" s="18">
        <f t="shared" si="7"/>
        <v>35501.765706038132</v>
      </c>
      <c r="AA16" s="20">
        <f t="shared" si="8"/>
        <v>5254688.9180374565</v>
      </c>
    </row>
    <row r="17" spans="2:27" s="82" customFormat="1" ht="20.149999999999999" customHeight="1" thickBot="1" x14ac:dyDescent="0.4">
      <c r="B17" s="789" t="s">
        <v>370</v>
      </c>
      <c r="C17" s="790"/>
      <c r="D17" s="790"/>
      <c r="E17" s="791"/>
      <c r="F17" s="87"/>
      <c r="G17" s="789" t="s">
        <v>371</v>
      </c>
      <c r="H17" s="790"/>
      <c r="I17" s="790"/>
      <c r="J17" s="791"/>
      <c r="K17" s="87"/>
      <c r="L17" s="789" t="s">
        <v>139</v>
      </c>
      <c r="M17" s="790"/>
      <c r="N17" s="790"/>
      <c r="O17" s="791"/>
      <c r="S17" s="83">
        <f t="shared" si="0"/>
        <v>12</v>
      </c>
      <c r="T17" s="83">
        <f t="shared" si="1"/>
        <v>47</v>
      </c>
      <c r="U17" s="84">
        <f t="shared" si="2"/>
        <v>42796.750591650023</v>
      </c>
      <c r="V17" s="84">
        <f t="shared" si="3"/>
        <v>10915</v>
      </c>
      <c r="W17" s="85">
        <f t="shared" si="4"/>
        <v>909.58333333333337</v>
      </c>
      <c r="X17" s="86">
        <f t="shared" si="5"/>
        <v>31434.327062819735</v>
      </c>
      <c r="Y17" s="86">
        <f t="shared" si="6"/>
        <v>2619.5272552349779</v>
      </c>
      <c r="Z17" s="84">
        <f t="shared" si="7"/>
        <v>39267.640003081709</v>
      </c>
      <c r="AA17" s="86">
        <f t="shared" si="8"/>
        <v>6386561.8321672697</v>
      </c>
    </row>
    <row r="18" spans="2:27" customFormat="1" ht="20.149999999999999" customHeight="1" thickTop="1" thickBot="1" x14ac:dyDescent="0.4">
      <c r="B18" s="792" t="str">
        <f>IF(N9&lt;10000000,IF(MOD(N9,100000)=0, TEXT(N9/100000, "#"), TEXT(N9/100000, "#.00"))&amp;" Lakhs",IF(MOD(N9,10000000)=0, TEXT(N9/10000000, "#"), TEXT(N9/10000000, "#.00"))&amp;" Cr")</f>
        <v>50 Lakhs</v>
      </c>
      <c r="C18" s="793"/>
      <c r="D18" s="793"/>
      <c r="E18" s="794"/>
      <c r="F18" s="193"/>
      <c r="G18" s="792" t="str">
        <f>IF(N11&lt;10000000,IF(MOD(N11,100000)=0, TEXT(N11/100000, "#"), TEXT(N11/100000, "#.00"))&amp;" Lakhs",IF(MOD(N11,10000000)=0, TEXT(N11/10000000, "#"), TEXT(N11/10000000, "#.00"))&amp;" Cr")</f>
        <v>10 Lakhs</v>
      </c>
      <c r="H18" s="793"/>
      <c r="I18" s="793"/>
      <c r="J18" s="794"/>
      <c r="K18" s="193"/>
      <c r="L18" s="792" t="str">
        <f t="shared" ref="L18" si="9">IF(S3&lt;10000000,IF(MOD(S3,100000)=0, TEXT(S3/100000, "#"), TEXT(S3/100000, "#.00"))&amp;" Lakhs",IF(MOD(S3,10000000)=0, TEXT(S3/10000000, "#"), TEXT(S3/10000000, "#.00"))&amp;" Cr")</f>
        <v>5.37 Cr</v>
      </c>
      <c r="M18" s="793"/>
      <c r="N18" s="793"/>
      <c r="O18" s="794"/>
      <c r="S18" s="19">
        <f t="shared" si="0"/>
        <v>13</v>
      </c>
      <c r="T18" s="19">
        <f t="shared" si="1"/>
        <v>48</v>
      </c>
      <c r="U18" s="18">
        <f t="shared" si="2"/>
        <v>47076.425650815028</v>
      </c>
      <c r="V18" s="18">
        <f t="shared" si="3"/>
        <v>10915</v>
      </c>
      <c r="W18" s="81">
        <f t="shared" si="4"/>
        <v>909.58333333333337</v>
      </c>
      <c r="X18" s="20">
        <f t="shared" si="5"/>
        <v>33006.043415960725</v>
      </c>
      <c r="Y18" s="20">
        <f t="shared" si="6"/>
        <v>2750.5036179967269</v>
      </c>
      <c r="Z18" s="18">
        <f t="shared" si="7"/>
        <v>43416.338699484972</v>
      </c>
      <c r="AA18" s="20">
        <f t="shared" si="8"/>
        <v>7707223.8492226824</v>
      </c>
    </row>
    <row r="19" spans="2:27" customFormat="1" ht="20.149999999999999" customHeight="1" thickTop="1" x14ac:dyDescent="0.35">
      <c r="B19" s="79"/>
      <c r="C19" s="79"/>
      <c r="D19" s="79"/>
      <c r="E19" s="79"/>
      <c r="F19" s="79"/>
      <c r="G19" s="79"/>
      <c r="H19" s="79"/>
      <c r="I19" s="79"/>
      <c r="J19" s="79"/>
      <c r="K19" s="79"/>
      <c r="L19" s="79"/>
      <c r="M19" s="79"/>
      <c r="N19" s="79"/>
      <c r="O19" s="79"/>
      <c r="S19" s="19">
        <f t="shared" si="0"/>
        <v>14</v>
      </c>
      <c r="T19" s="19">
        <f t="shared" si="1"/>
        <v>49</v>
      </c>
      <c r="U19" s="18">
        <f t="shared" si="2"/>
        <v>51784.068215896536</v>
      </c>
      <c r="V19" s="18">
        <f t="shared" si="3"/>
        <v>10915</v>
      </c>
      <c r="W19" s="81">
        <f t="shared" si="4"/>
        <v>909.58333333333337</v>
      </c>
      <c r="X19" s="20">
        <f t="shared" si="5"/>
        <v>34656.345586758762</v>
      </c>
      <c r="Y19" s="20">
        <f t="shared" si="6"/>
        <v>2888.0287988965633</v>
      </c>
      <c r="Z19" s="18">
        <f t="shared" si="7"/>
        <v>47986.456083666635</v>
      </c>
      <c r="AA19" s="20">
        <f t="shared" si="8"/>
        <v>9244709.7023508307</v>
      </c>
    </row>
    <row r="20" spans="2:27" customFormat="1" ht="20.149999999999999" customHeight="1" x14ac:dyDescent="0.35">
      <c r="B20" s="798" t="str">
        <f>"Monthly contribution amount breakup @ age "&amp;G11</f>
        <v>Monthly contribution amount breakup @ age 35</v>
      </c>
      <c r="C20" s="798"/>
      <c r="D20" s="798"/>
      <c r="E20" s="798"/>
      <c r="F20" s="798"/>
      <c r="G20" s="798"/>
      <c r="H20" s="9"/>
      <c r="I20" s="79"/>
      <c r="J20" s="798" t="str">
        <f>"Monthly contribution amt breakup @ age "&amp;G11+G12</f>
        <v>Monthly contribution amt breakup @ age 60</v>
      </c>
      <c r="K20" s="798"/>
      <c r="L20" s="798"/>
      <c r="M20" s="798"/>
      <c r="N20" s="798"/>
      <c r="O20" s="798"/>
      <c r="S20" s="19">
        <f t="shared" si="0"/>
        <v>15</v>
      </c>
      <c r="T20" s="19">
        <f t="shared" si="1"/>
        <v>50</v>
      </c>
      <c r="U20" s="18">
        <f t="shared" si="2"/>
        <v>56962.475037486191</v>
      </c>
      <c r="V20" s="18">
        <f t="shared" si="3"/>
        <v>10915</v>
      </c>
      <c r="W20" s="81">
        <f t="shared" si="4"/>
        <v>909.58333333333337</v>
      </c>
      <c r="X20" s="20">
        <f t="shared" si="5"/>
        <v>36389.162866096704</v>
      </c>
      <c r="Y20" s="20">
        <f t="shared" si="6"/>
        <v>3032.4302388413921</v>
      </c>
      <c r="Z20" s="18">
        <f t="shared" si="7"/>
        <v>53020.461465311462</v>
      </c>
      <c r="AA20" s="20">
        <f t="shared" si="8"/>
        <v>11030960.477029767</v>
      </c>
    </row>
    <row r="21" spans="2:27" customFormat="1" ht="20.149999999999999" customHeight="1" x14ac:dyDescent="0.35">
      <c r="B21" s="7" t="s">
        <v>230</v>
      </c>
      <c r="C21" s="8"/>
      <c r="D21" s="8"/>
      <c r="E21" s="8"/>
      <c r="F21" s="29"/>
      <c r="G21" s="801">
        <f>G9</f>
        <v>15000</v>
      </c>
      <c r="H21" s="802"/>
      <c r="I21" s="79"/>
      <c r="J21" s="7" t="s">
        <v>230</v>
      </c>
      <c r="K21" s="8"/>
      <c r="L21" s="8"/>
      <c r="M21" s="8"/>
      <c r="N21" s="799">
        <f>VLOOKUP(G12,S6:U55,3,0)</f>
        <v>147745.99013711439</v>
      </c>
      <c r="O21" s="800"/>
      <c r="S21" s="19">
        <f t="shared" si="0"/>
        <v>16</v>
      </c>
      <c r="T21" s="19">
        <f t="shared" si="1"/>
        <v>51</v>
      </c>
      <c r="U21" s="18">
        <f t="shared" si="2"/>
        <v>62658.722541234813</v>
      </c>
      <c r="V21" s="18">
        <f t="shared" si="3"/>
        <v>10915</v>
      </c>
      <c r="W21" s="81">
        <f t="shared" si="4"/>
        <v>909.58333333333337</v>
      </c>
      <c r="X21" s="20">
        <f t="shared" si="5"/>
        <v>38208.621009401541</v>
      </c>
      <c r="Y21" s="20">
        <f t="shared" si="6"/>
        <v>3184.0517507834616</v>
      </c>
      <c r="Z21" s="18">
        <f t="shared" si="7"/>
        <v>58565.087457118017</v>
      </c>
      <c r="AA21" s="20">
        <f t="shared" si="8"/>
        <v>13102346.800797177</v>
      </c>
    </row>
    <row r="22" spans="2:27" customFormat="1" ht="20.149999999999999" customHeight="1" x14ac:dyDescent="0.35">
      <c r="B22" s="7" t="s">
        <v>219</v>
      </c>
      <c r="C22" s="8"/>
      <c r="D22" s="8"/>
      <c r="E22" s="8"/>
      <c r="F22" s="29"/>
      <c r="G22" s="801">
        <f>N10</f>
        <v>10915</v>
      </c>
      <c r="H22" s="802"/>
      <c r="J22" s="7" t="s">
        <v>219</v>
      </c>
      <c r="K22" s="8"/>
      <c r="L22" s="8"/>
      <c r="M22" s="8"/>
      <c r="N22" s="799">
        <f>VLOOKUP(G12,S6:V55,4,0)</f>
        <v>10915</v>
      </c>
      <c r="O22" s="800"/>
      <c r="S22" s="19">
        <f t="shared" si="0"/>
        <v>17</v>
      </c>
      <c r="T22" s="19">
        <f t="shared" si="1"/>
        <v>52</v>
      </c>
      <c r="U22" s="18">
        <f t="shared" si="2"/>
        <v>68924.594795358295</v>
      </c>
      <c r="V22" s="18">
        <f t="shared" si="3"/>
        <v>10915</v>
      </c>
      <c r="W22" s="81">
        <f t="shared" si="4"/>
        <v>909.58333333333337</v>
      </c>
      <c r="X22" s="20">
        <f t="shared" si="5"/>
        <v>40119.052059871618</v>
      </c>
      <c r="Y22" s="20">
        <f t="shared" si="6"/>
        <v>3343.2543383226348</v>
      </c>
      <c r="Z22" s="18">
        <f t="shared" si="7"/>
        <v>64671.757123702329</v>
      </c>
      <c r="AA22" s="20">
        <f t="shared" si="8"/>
        <v>15500260.268942133</v>
      </c>
    </row>
    <row r="23" spans="2:27" customFormat="1" ht="20.149999999999999" customHeight="1" x14ac:dyDescent="0.35">
      <c r="B23" s="7" t="s">
        <v>231</v>
      </c>
      <c r="C23" s="8"/>
      <c r="D23" s="8"/>
      <c r="E23" s="8"/>
      <c r="F23" s="29"/>
      <c r="G23" s="801">
        <f>G22/12</f>
        <v>909.58333333333337</v>
      </c>
      <c r="H23" s="802"/>
      <c r="J23" s="7" t="s">
        <v>231</v>
      </c>
      <c r="K23" s="8"/>
      <c r="L23" s="8"/>
      <c r="M23" s="8"/>
      <c r="N23" s="799">
        <f>N22/12</f>
        <v>909.58333333333337</v>
      </c>
      <c r="O23" s="800"/>
      <c r="S23" s="19">
        <f t="shared" si="0"/>
        <v>18</v>
      </c>
      <c r="T23" s="19">
        <f t="shared" si="1"/>
        <v>53</v>
      </c>
      <c r="U23" s="18">
        <f t="shared" si="2"/>
        <v>75817.054274894137</v>
      </c>
      <c r="V23" s="18">
        <f t="shared" si="3"/>
        <v>10915</v>
      </c>
      <c r="W23" s="81">
        <f t="shared" si="4"/>
        <v>909.58333333333337</v>
      </c>
      <c r="X23" s="20">
        <f t="shared" si="5"/>
        <v>42125.004662865198</v>
      </c>
      <c r="Y23" s="20">
        <f t="shared" si="6"/>
        <v>3510.4170552387664</v>
      </c>
      <c r="Z23" s="18">
        <f t="shared" si="7"/>
        <v>71397.053886322043</v>
      </c>
      <c r="AA23" s="20">
        <f t="shared" si="8"/>
        <v>18271781.840317525</v>
      </c>
    </row>
    <row r="24" spans="2:27" customFormat="1" ht="20.149999999999999" customHeight="1" x14ac:dyDescent="0.35">
      <c r="B24" s="7" t="s">
        <v>220</v>
      </c>
      <c r="C24" s="8"/>
      <c r="D24" s="8"/>
      <c r="E24" s="8"/>
      <c r="F24" s="29"/>
      <c r="G24" s="801">
        <f>N12</f>
        <v>18379</v>
      </c>
      <c r="H24" s="802"/>
      <c r="J24" s="7" t="s">
        <v>220</v>
      </c>
      <c r="K24" s="8"/>
      <c r="L24" s="8"/>
      <c r="M24" s="8"/>
      <c r="N24" s="799">
        <f>VLOOKUP(G12,S6:X55,6,0)</f>
        <v>59274.11186551414</v>
      </c>
      <c r="O24" s="800"/>
      <c r="S24" s="19">
        <f t="shared" si="0"/>
        <v>19</v>
      </c>
      <c r="T24" s="19">
        <f t="shared" si="1"/>
        <v>54</v>
      </c>
      <c r="U24" s="18">
        <f t="shared" si="2"/>
        <v>83398.759702383555</v>
      </c>
      <c r="V24" s="18">
        <f t="shared" si="3"/>
        <v>10915</v>
      </c>
      <c r="W24" s="81">
        <f t="shared" si="4"/>
        <v>909.58333333333337</v>
      </c>
      <c r="X24" s="20">
        <f t="shared" si="5"/>
        <v>44231.25489600846</v>
      </c>
      <c r="Y24" s="20">
        <f t="shared" si="6"/>
        <v>3685.9379080007052</v>
      </c>
      <c r="Z24" s="18">
        <f t="shared" si="7"/>
        <v>78803.238461049521</v>
      </c>
      <c r="AA24" s="20">
        <f t="shared" si="8"/>
        <v>21470437.040140107</v>
      </c>
    </row>
    <row r="25" spans="2:27" customFormat="1" ht="20.149999999999999" customHeight="1" x14ac:dyDescent="0.35">
      <c r="B25" s="7" t="s">
        <v>232</v>
      </c>
      <c r="C25" s="8"/>
      <c r="D25" s="8"/>
      <c r="E25" s="8"/>
      <c r="F25" s="29"/>
      <c r="G25" s="801">
        <f>G24/12</f>
        <v>1531.5833333333333</v>
      </c>
      <c r="H25" s="802"/>
      <c r="J25" s="7" t="s">
        <v>232</v>
      </c>
      <c r="K25" s="8"/>
      <c r="L25" s="8"/>
      <c r="M25" s="8"/>
      <c r="N25" s="799">
        <f>N24/12</f>
        <v>4939.5093221261786</v>
      </c>
      <c r="O25" s="800"/>
      <c r="S25" s="19">
        <f t="shared" si="0"/>
        <v>20</v>
      </c>
      <c r="T25" s="19">
        <f t="shared" si="1"/>
        <v>55</v>
      </c>
      <c r="U25" s="18">
        <f t="shared" si="2"/>
        <v>91738.635672621924</v>
      </c>
      <c r="V25" s="18">
        <f t="shared" si="3"/>
        <v>10915</v>
      </c>
      <c r="W25" s="81">
        <f t="shared" si="4"/>
        <v>909.58333333333337</v>
      </c>
      <c r="X25" s="20">
        <f t="shared" si="5"/>
        <v>46442.817640808884</v>
      </c>
      <c r="Y25" s="20">
        <f t="shared" si="6"/>
        <v>3870.2348034007405</v>
      </c>
      <c r="Z25" s="18">
        <f t="shared" si="7"/>
        <v>86958.817535887851</v>
      </c>
      <c r="AA25" s="20">
        <f t="shared" si="8"/>
        <v>25157049.047141735</v>
      </c>
    </row>
    <row r="26" spans="2:27" ht="20.149999999999999" customHeight="1" x14ac:dyDescent="0.35">
      <c r="B26" s="7" t="s">
        <v>233</v>
      </c>
      <c r="C26" s="8"/>
      <c r="D26" s="8"/>
      <c r="E26" s="8"/>
      <c r="F26" s="29"/>
      <c r="G26" s="801">
        <f>G21-(G23+G25)</f>
        <v>12558.833333333334</v>
      </c>
      <c r="H26" s="802"/>
      <c r="J26" s="7" t="s">
        <v>233</v>
      </c>
      <c r="K26" s="8"/>
      <c r="L26" s="8"/>
      <c r="M26" s="8"/>
      <c r="N26" s="799">
        <f>N21-(N23+N25)</f>
        <v>141896.89748165489</v>
      </c>
      <c r="O26" s="800"/>
      <c r="S26" s="19">
        <f t="shared" si="0"/>
        <v>21</v>
      </c>
      <c r="T26" s="19">
        <f t="shared" si="1"/>
        <v>56</v>
      </c>
      <c r="U26" s="18">
        <f t="shared" si="2"/>
        <v>100912.49923988413</v>
      </c>
      <c r="V26" s="18">
        <f t="shared" si="3"/>
        <v>10915</v>
      </c>
      <c r="W26" s="81">
        <f t="shared" si="4"/>
        <v>909.58333333333337</v>
      </c>
      <c r="X26" s="20">
        <f t="shared" si="5"/>
        <v>48764.958522849331</v>
      </c>
      <c r="Y26" s="20">
        <f t="shared" si="6"/>
        <v>4063.7465435707777</v>
      </c>
      <c r="Z26" s="18">
        <f t="shared" si="7"/>
        <v>95939.169362980014</v>
      </c>
      <c r="AA26" s="20">
        <f t="shared" si="8"/>
        <v>29400702.13780041</v>
      </c>
    </row>
    <row r="27" spans="2:27" s="9" customFormat="1" ht="20.149999999999999" customHeight="1" x14ac:dyDescent="0.35">
      <c r="B27"/>
      <c r="C27"/>
      <c r="D27"/>
      <c r="E27"/>
      <c r="F27"/>
      <c r="G27"/>
      <c r="H27"/>
      <c r="I27"/>
      <c r="J27"/>
      <c r="K27"/>
      <c r="L27"/>
      <c r="M27"/>
      <c r="N27"/>
      <c r="O27"/>
      <c r="S27" s="19">
        <f t="shared" si="0"/>
        <v>22</v>
      </c>
      <c r="T27" s="19">
        <f t="shared" si="1"/>
        <v>57</v>
      </c>
      <c r="U27" s="18">
        <f t="shared" si="2"/>
        <v>111003.74916387255</v>
      </c>
      <c r="V27" s="18">
        <f t="shared" si="3"/>
        <v>10915</v>
      </c>
      <c r="W27" s="81">
        <f t="shared" si="4"/>
        <v>909.58333333333337</v>
      </c>
      <c r="X27" s="20">
        <f t="shared" si="5"/>
        <v>51203.206448991798</v>
      </c>
      <c r="Y27" s="20">
        <f t="shared" si="6"/>
        <v>4266.9338707493162</v>
      </c>
      <c r="Z27" s="18">
        <f t="shared" si="7"/>
        <v>105827.2319597899</v>
      </c>
      <c r="AA27" s="20">
        <f t="shared" si="8"/>
        <v>34279829.529797971</v>
      </c>
    </row>
    <row r="28" spans="2:27" s="9" customFormat="1" ht="20.149999999999999" hidden="1" customHeight="1" x14ac:dyDescent="0.35">
      <c r="B28"/>
      <c r="C28"/>
      <c r="D28"/>
      <c r="E28"/>
      <c r="F28"/>
      <c r="G28"/>
      <c r="H28"/>
      <c r="I28"/>
      <c r="J28"/>
      <c r="K28"/>
      <c r="L28"/>
      <c r="M28"/>
      <c r="N28"/>
      <c r="O28"/>
      <c r="S28" s="19">
        <f t="shared" si="0"/>
        <v>23</v>
      </c>
      <c r="T28" s="19">
        <f t="shared" si="1"/>
        <v>58</v>
      </c>
      <c r="U28" s="18">
        <f t="shared" si="2"/>
        <v>122104.12408025982</v>
      </c>
      <c r="V28" s="18">
        <f t="shared" si="3"/>
        <v>10915</v>
      </c>
      <c r="W28" s="81">
        <f t="shared" si="4"/>
        <v>909.58333333333337</v>
      </c>
      <c r="X28" s="20">
        <f t="shared" si="5"/>
        <v>53763.36677144139</v>
      </c>
      <c r="Y28" s="20">
        <f t="shared" si="6"/>
        <v>4480.2805642867825</v>
      </c>
      <c r="Z28" s="18">
        <f t="shared" si="7"/>
        <v>116714.2601826397</v>
      </c>
      <c r="AA28" s="20">
        <f t="shared" si="8"/>
        <v>39883441.431870446</v>
      </c>
    </row>
    <row r="29" spans="2:27" s="9" customFormat="1" ht="20.149999999999999" hidden="1" customHeight="1" x14ac:dyDescent="0.35">
      <c r="S29" s="19">
        <f t="shared" si="0"/>
        <v>24</v>
      </c>
      <c r="T29" s="19">
        <f t="shared" si="1"/>
        <v>59</v>
      </c>
      <c r="U29" s="18">
        <f t="shared" si="2"/>
        <v>134314.53648828581</v>
      </c>
      <c r="V29" s="18">
        <f t="shared" si="3"/>
        <v>10915</v>
      </c>
      <c r="W29" s="81">
        <f t="shared" si="4"/>
        <v>909.58333333333337</v>
      </c>
      <c r="X29" s="20">
        <f t="shared" si="5"/>
        <v>56451.535110013465</v>
      </c>
      <c r="Y29" s="20">
        <f t="shared" si="6"/>
        <v>4704.2945925011218</v>
      </c>
      <c r="Z29" s="18">
        <f t="shared" si="7"/>
        <v>128700.65856245135</v>
      </c>
      <c r="AA29" s="20">
        <f t="shared" si="8"/>
        <v>46312511.09203618</v>
      </c>
    </row>
    <row r="30" spans="2:27" s="9" customFormat="1" ht="20.149999999999999" hidden="1" customHeight="1" x14ac:dyDescent="0.35">
      <c r="S30" s="19">
        <f t="shared" si="0"/>
        <v>25</v>
      </c>
      <c r="T30" s="19">
        <f t="shared" si="1"/>
        <v>60</v>
      </c>
      <c r="U30" s="18">
        <f t="shared" si="2"/>
        <v>147745.99013711439</v>
      </c>
      <c r="V30" s="18">
        <f t="shared" si="3"/>
        <v>10915</v>
      </c>
      <c r="W30" s="81">
        <f t="shared" si="4"/>
        <v>909.58333333333337</v>
      </c>
      <c r="X30" s="20">
        <f t="shared" si="5"/>
        <v>59274.11186551414</v>
      </c>
      <c r="Y30" s="20">
        <f t="shared" si="6"/>
        <v>4939.5093221261786</v>
      </c>
      <c r="Z30" s="18">
        <f t="shared" si="7"/>
        <v>141896.89748165489</v>
      </c>
      <c r="AA30" s="20">
        <f t="shared" si="8"/>
        <v>53681538.867981948</v>
      </c>
    </row>
    <row r="31" spans="2:27" s="9" customFormat="1" ht="20.149999999999999" hidden="1" customHeight="1" x14ac:dyDescent="0.35">
      <c r="S31" s="19" t="str">
        <f t="shared" si="0"/>
        <v/>
      </c>
      <c r="T31" s="19" t="str">
        <f t="shared" si="1"/>
        <v/>
      </c>
      <c r="U31" s="18" t="str">
        <f t="shared" si="2"/>
        <v/>
      </c>
      <c r="V31" s="18" t="str">
        <f t="shared" si="3"/>
        <v/>
      </c>
      <c r="W31" s="81" t="str">
        <f t="shared" si="4"/>
        <v/>
      </c>
      <c r="X31" s="20" t="str">
        <f t="shared" si="5"/>
        <v/>
      </c>
      <c r="Y31" s="20" t="str">
        <f t="shared" si="6"/>
        <v/>
      </c>
      <c r="Z31" s="18" t="str">
        <f t="shared" si="7"/>
        <v/>
      </c>
      <c r="AA31" s="20" t="str">
        <f t="shared" si="8"/>
        <v/>
      </c>
    </row>
    <row r="32" spans="2:27" s="9" customFormat="1" ht="20.149999999999999" hidden="1" customHeight="1" x14ac:dyDescent="0.35">
      <c r="S32" s="19" t="str">
        <f t="shared" si="0"/>
        <v/>
      </c>
      <c r="T32" s="19" t="str">
        <f t="shared" si="1"/>
        <v/>
      </c>
      <c r="U32" s="18" t="str">
        <f t="shared" si="2"/>
        <v/>
      </c>
      <c r="V32" s="18" t="str">
        <f t="shared" si="3"/>
        <v/>
      </c>
      <c r="W32" s="81" t="str">
        <f t="shared" si="4"/>
        <v/>
      </c>
      <c r="X32" s="20" t="str">
        <f t="shared" si="5"/>
        <v/>
      </c>
      <c r="Y32" s="20" t="str">
        <f t="shared" si="6"/>
        <v/>
      </c>
      <c r="Z32" s="18" t="str">
        <f t="shared" si="7"/>
        <v/>
      </c>
      <c r="AA32" s="20" t="str">
        <f t="shared" si="8"/>
        <v/>
      </c>
    </row>
    <row r="33" spans="19:27" s="9" customFormat="1" ht="20.149999999999999" hidden="1" customHeight="1" x14ac:dyDescent="0.35">
      <c r="S33" s="19" t="str">
        <f t="shared" si="0"/>
        <v/>
      </c>
      <c r="T33" s="19" t="str">
        <f t="shared" si="1"/>
        <v/>
      </c>
      <c r="U33" s="18" t="str">
        <f t="shared" si="2"/>
        <v/>
      </c>
      <c r="V33" s="18" t="str">
        <f t="shared" si="3"/>
        <v/>
      </c>
      <c r="W33" s="81" t="str">
        <f t="shared" si="4"/>
        <v/>
      </c>
      <c r="X33" s="20" t="str">
        <f t="shared" si="5"/>
        <v/>
      </c>
      <c r="Y33" s="20" t="str">
        <f t="shared" si="6"/>
        <v/>
      </c>
      <c r="Z33" s="18" t="str">
        <f t="shared" si="7"/>
        <v/>
      </c>
      <c r="AA33" s="20" t="str">
        <f t="shared" si="8"/>
        <v/>
      </c>
    </row>
    <row r="34" spans="19:27" s="9" customFormat="1" ht="20.149999999999999" hidden="1" customHeight="1" x14ac:dyDescent="0.35">
      <c r="S34" s="19" t="str">
        <f t="shared" si="0"/>
        <v/>
      </c>
      <c r="T34" s="19" t="str">
        <f t="shared" si="1"/>
        <v/>
      </c>
      <c r="U34" s="18" t="str">
        <f t="shared" si="2"/>
        <v/>
      </c>
      <c r="V34" s="18" t="str">
        <f t="shared" si="3"/>
        <v/>
      </c>
      <c r="W34" s="81" t="str">
        <f t="shared" si="4"/>
        <v/>
      </c>
      <c r="X34" s="20" t="str">
        <f t="shared" si="5"/>
        <v/>
      </c>
      <c r="Y34" s="20" t="str">
        <f t="shared" si="6"/>
        <v/>
      </c>
      <c r="Z34" s="18" t="str">
        <f t="shared" si="7"/>
        <v/>
      </c>
      <c r="AA34" s="20" t="str">
        <f t="shared" si="8"/>
        <v/>
      </c>
    </row>
    <row r="35" spans="19:27" s="9" customFormat="1" ht="20.149999999999999" hidden="1" customHeight="1" x14ac:dyDescent="0.35">
      <c r="S35" s="19" t="str">
        <f t="shared" si="0"/>
        <v/>
      </c>
      <c r="T35" s="19" t="str">
        <f t="shared" si="1"/>
        <v/>
      </c>
      <c r="U35" s="18" t="str">
        <f t="shared" si="2"/>
        <v/>
      </c>
      <c r="V35" s="18" t="str">
        <f t="shared" si="3"/>
        <v/>
      </c>
      <c r="W35" s="81" t="str">
        <f t="shared" si="4"/>
        <v/>
      </c>
      <c r="X35" s="20" t="str">
        <f t="shared" si="5"/>
        <v/>
      </c>
      <c r="Y35" s="20" t="str">
        <f t="shared" si="6"/>
        <v/>
      </c>
      <c r="Z35" s="18" t="str">
        <f t="shared" si="7"/>
        <v/>
      </c>
      <c r="AA35" s="20" t="str">
        <f t="shared" si="8"/>
        <v/>
      </c>
    </row>
    <row r="36" spans="19:27" s="9" customFormat="1" ht="20.149999999999999" hidden="1" customHeight="1" x14ac:dyDescent="0.35">
      <c r="S36" s="19" t="str">
        <f t="shared" si="0"/>
        <v/>
      </c>
      <c r="T36" s="19" t="str">
        <f t="shared" si="1"/>
        <v/>
      </c>
      <c r="U36" s="18" t="str">
        <f t="shared" si="2"/>
        <v/>
      </c>
      <c r="V36" s="18" t="str">
        <f t="shared" si="3"/>
        <v/>
      </c>
      <c r="W36" s="81" t="str">
        <f t="shared" si="4"/>
        <v/>
      </c>
      <c r="X36" s="20" t="str">
        <f t="shared" si="5"/>
        <v/>
      </c>
      <c r="Y36" s="20" t="str">
        <f t="shared" si="6"/>
        <v/>
      </c>
      <c r="Z36" s="18" t="str">
        <f t="shared" si="7"/>
        <v/>
      </c>
      <c r="AA36" s="20" t="str">
        <f t="shared" si="8"/>
        <v/>
      </c>
    </row>
    <row r="37" spans="19:27" s="9" customFormat="1" ht="20.149999999999999" hidden="1" customHeight="1" x14ac:dyDescent="0.35">
      <c r="S37" s="19" t="str">
        <f t="shared" si="0"/>
        <v/>
      </c>
      <c r="T37" s="19" t="str">
        <f t="shared" si="1"/>
        <v/>
      </c>
      <c r="U37" s="18" t="str">
        <f t="shared" si="2"/>
        <v/>
      </c>
      <c r="V37" s="18" t="str">
        <f t="shared" si="3"/>
        <v/>
      </c>
      <c r="W37" s="81" t="str">
        <f t="shared" si="4"/>
        <v/>
      </c>
      <c r="X37" s="20" t="str">
        <f t="shared" si="5"/>
        <v/>
      </c>
      <c r="Y37" s="20" t="str">
        <f t="shared" si="6"/>
        <v/>
      </c>
      <c r="Z37" s="18" t="str">
        <f t="shared" si="7"/>
        <v/>
      </c>
      <c r="AA37" s="20" t="str">
        <f t="shared" si="8"/>
        <v/>
      </c>
    </row>
    <row r="38" spans="19:27" s="9" customFormat="1" ht="20.149999999999999" hidden="1" customHeight="1" x14ac:dyDescent="0.35">
      <c r="S38" s="19" t="str">
        <f t="shared" si="0"/>
        <v/>
      </c>
      <c r="T38" s="19" t="str">
        <f t="shared" si="1"/>
        <v/>
      </c>
      <c r="U38" s="18" t="str">
        <f t="shared" si="2"/>
        <v/>
      </c>
      <c r="V38" s="18" t="str">
        <f t="shared" si="3"/>
        <v/>
      </c>
      <c r="W38" s="81" t="str">
        <f t="shared" si="4"/>
        <v/>
      </c>
      <c r="X38" s="20" t="str">
        <f t="shared" si="5"/>
        <v/>
      </c>
      <c r="Y38" s="20" t="str">
        <f t="shared" si="6"/>
        <v/>
      </c>
      <c r="Z38" s="18" t="str">
        <f t="shared" si="7"/>
        <v/>
      </c>
      <c r="AA38" s="20" t="str">
        <f t="shared" si="8"/>
        <v/>
      </c>
    </row>
    <row r="39" spans="19:27" s="9" customFormat="1" ht="20.149999999999999" hidden="1" customHeight="1" x14ac:dyDescent="0.35">
      <c r="S39" s="19" t="str">
        <f t="shared" si="0"/>
        <v/>
      </c>
      <c r="T39" s="19" t="str">
        <f t="shared" si="1"/>
        <v/>
      </c>
      <c r="U39" s="18" t="str">
        <f t="shared" si="2"/>
        <v/>
      </c>
      <c r="V39" s="18" t="str">
        <f t="shared" si="3"/>
        <v/>
      </c>
      <c r="W39" s="81" t="str">
        <f t="shared" si="4"/>
        <v/>
      </c>
      <c r="X39" s="20" t="str">
        <f t="shared" si="5"/>
        <v/>
      </c>
      <c r="Y39" s="20" t="str">
        <f t="shared" si="6"/>
        <v/>
      </c>
      <c r="Z39" s="18" t="str">
        <f t="shared" si="7"/>
        <v/>
      </c>
      <c r="AA39" s="20" t="str">
        <f t="shared" si="8"/>
        <v/>
      </c>
    </row>
    <row r="40" spans="19:27" s="9" customFormat="1" ht="20.149999999999999" hidden="1" customHeight="1" x14ac:dyDescent="0.35">
      <c r="S40" s="19" t="str">
        <f t="shared" si="0"/>
        <v/>
      </c>
      <c r="T40" s="19" t="str">
        <f t="shared" si="1"/>
        <v/>
      </c>
      <c r="U40" s="18" t="str">
        <f t="shared" si="2"/>
        <v/>
      </c>
      <c r="V40" s="18" t="str">
        <f t="shared" si="3"/>
        <v/>
      </c>
      <c r="W40" s="81" t="str">
        <f t="shared" si="4"/>
        <v/>
      </c>
      <c r="X40" s="20" t="str">
        <f t="shared" si="5"/>
        <v/>
      </c>
      <c r="Y40" s="20" t="str">
        <f t="shared" si="6"/>
        <v/>
      </c>
      <c r="Z40" s="18" t="str">
        <f t="shared" si="7"/>
        <v/>
      </c>
      <c r="AA40" s="20" t="str">
        <f t="shared" si="8"/>
        <v/>
      </c>
    </row>
    <row r="41" spans="19:27" s="9" customFormat="1" ht="20.149999999999999" hidden="1" customHeight="1" x14ac:dyDescent="0.35">
      <c r="S41" s="19" t="str">
        <f t="shared" si="0"/>
        <v/>
      </c>
      <c r="T41" s="19" t="str">
        <f t="shared" si="1"/>
        <v/>
      </c>
      <c r="U41" s="18" t="str">
        <f t="shared" si="2"/>
        <v/>
      </c>
      <c r="V41" s="18" t="str">
        <f t="shared" si="3"/>
        <v/>
      </c>
      <c r="W41" s="81" t="str">
        <f t="shared" si="4"/>
        <v/>
      </c>
      <c r="X41" s="20" t="str">
        <f t="shared" si="5"/>
        <v/>
      </c>
      <c r="Y41" s="20" t="str">
        <f t="shared" si="6"/>
        <v/>
      </c>
      <c r="Z41" s="18" t="str">
        <f t="shared" si="7"/>
        <v/>
      </c>
      <c r="AA41" s="20" t="str">
        <f t="shared" si="8"/>
        <v/>
      </c>
    </row>
    <row r="42" spans="19:27" s="9" customFormat="1" ht="20.149999999999999" hidden="1" customHeight="1" x14ac:dyDescent="0.35">
      <c r="S42" s="19" t="str">
        <f t="shared" si="0"/>
        <v/>
      </c>
      <c r="T42" s="19" t="str">
        <f t="shared" si="1"/>
        <v/>
      </c>
      <c r="U42" s="18" t="str">
        <f t="shared" si="2"/>
        <v/>
      </c>
      <c r="V42" s="18" t="str">
        <f t="shared" si="3"/>
        <v/>
      </c>
      <c r="W42" s="81" t="str">
        <f t="shared" si="4"/>
        <v/>
      </c>
      <c r="X42" s="20" t="str">
        <f t="shared" si="5"/>
        <v/>
      </c>
      <c r="Y42" s="20" t="str">
        <f t="shared" si="6"/>
        <v/>
      </c>
      <c r="Z42" s="18" t="str">
        <f t="shared" si="7"/>
        <v/>
      </c>
      <c r="AA42" s="20" t="str">
        <f t="shared" si="8"/>
        <v/>
      </c>
    </row>
    <row r="43" spans="19:27" s="9" customFormat="1" ht="20.149999999999999" hidden="1" customHeight="1" x14ac:dyDescent="0.35">
      <c r="S43" s="19" t="str">
        <f t="shared" si="0"/>
        <v/>
      </c>
      <c r="T43" s="19" t="str">
        <f t="shared" si="1"/>
        <v/>
      </c>
      <c r="U43" s="18" t="str">
        <f t="shared" si="2"/>
        <v/>
      </c>
      <c r="V43" s="18" t="str">
        <f t="shared" si="3"/>
        <v/>
      </c>
      <c r="W43" s="81" t="str">
        <f t="shared" si="4"/>
        <v/>
      </c>
      <c r="X43" s="20" t="str">
        <f t="shared" si="5"/>
        <v/>
      </c>
      <c r="Y43" s="20" t="str">
        <f t="shared" si="6"/>
        <v/>
      </c>
      <c r="Z43" s="18" t="str">
        <f t="shared" si="7"/>
        <v/>
      </c>
      <c r="AA43" s="20" t="str">
        <f t="shared" si="8"/>
        <v/>
      </c>
    </row>
    <row r="44" spans="19:27" s="9" customFormat="1" ht="20.149999999999999" hidden="1" customHeight="1" x14ac:dyDescent="0.35">
      <c r="S44" s="19" t="str">
        <f t="shared" si="0"/>
        <v/>
      </c>
      <c r="T44" s="19" t="str">
        <f t="shared" si="1"/>
        <v/>
      </c>
      <c r="U44" s="18" t="str">
        <f t="shared" si="2"/>
        <v/>
      </c>
      <c r="V44" s="18" t="str">
        <f t="shared" si="3"/>
        <v/>
      </c>
      <c r="W44" s="81" t="str">
        <f t="shared" si="4"/>
        <v/>
      </c>
      <c r="X44" s="20" t="str">
        <f t="shared" si="5"/>
        <v/>
      </c>
      <c r="Y44" s="20" t="str">
        <f t="shared" si="6"/>
        <v/>
      </c>
      <c r="Z44" s="18" t="str">
        <f t="shared" si="7"/>
        <v/>
      </c>
      <c r="AA44" s="20" t="str">
        <f t="shared" si="8"/>
        <v/>
      </c>
    </row>
    <row r="45" spans="19:27" s="9" customFormat="1" ht="20.149999999999999" hidden="1" customHeight="1" x14ac:dyDescent="0.35">
      <c r="S45" s="19" t="str">
        <f t="shared" si="0"/>
        <v/>
      </c>
      <c r="T45" s="19" t="str">
        <f t="shared" si="1"/>
        <v/>
      </c>
      <c r="U45" s="18" t="str">
        <f t="shared" si="2"/>
        <v/>
      </c>
      <c r="V45" s="18" t="str">
        <f t="shared" si="3"/>
        <v/>
      </c>
      <c r="W45" s="81" t="str">
        <f t="shared" si="4"/>
        <v/>
      </c>
      <c r="X45" s="20" t="str">
        <f t="shared" si="5"/>
        <v/>
      </c>
      <c r="Y45" s="20" t="str">
        <f t="shared" si="6"/>
        <v/>
      </c>
      <c r="Z45" s="18" t="str">
        <f t="shared" si="7"/>
        <v/>
      </c>
      <c r="AA45" s="20" t="str">
        <f t="shared" si="8"/>
        <v/>
      </c>
    </row>
    <row r="46" spans="19:27" s="9" customFormat="1" ht="20.149999999999999" hidden="1" customHeight="1" x14ac:dyDescent="0.35">
      <c r="S46" s="19" t="str">
        <f t="shared" si="0"/>
        <v/>
      </c>
      <c r="T46" s="19" t="str">
        <f t="shared" si="1"/>
        <v/>
      </c>
      <c r="U46" s="18" t="str">
        <f t="shared" si="2"/>
        <v/>
      </c>
      <c r="V46" s="18" t="str">
        <f t="shared" si="3"/>
        <v/>
      </c>
      <c r="W46" s="81" t="str">
        <f t="shared" si="4"/>
        <v/>
      </c>
      <c r="X46" s="20" t="str">
        <f t="shared" si="5"/>
        <v/>
      </c>
      <c r="Y46" s="20" t="str">
        <f t="shared" si="6"/>
        <v/>
      </c>
      <c r="Z46" s="18" t="str">
        <f t="shared" si="7"/>
        <v/>
      </c>
      <c r="AA46" s="20" t="str">
        <f t="shared" si="8"/>
        <v/>
      </c>
    </row>
    <row r="47" spans="19:27" s="9" customFormat="1" ht="20.149999999999999" hidden="1" customHeight="1" x14ac:dyDescent="0.35">
      <c r="S47" s="19" t="str">
        <f t="shared" si="0"/>
        <v/>
      </c>
      <c r="T47" s="19" t="str">
        <f t="shared" si="1"/>
        <v/>
      </c>
      <c r="U47" s="18" t="str">
        <f t="shared" si="2"/>
        <v/>
      </c>
      <c r="V47" s="18" t="str">
        <f t="shared" si="3"/>
        <v/>
      </c>
      <c r="W47" s="81" t="str">
        <f t="shared" si="4"/>
        <v/>
      </c>
      <c r="X47" s="20" t="str">
        <f t="shared" si="5"/>
        <v/>
      </c>
      <c r="Y47" s="20" t="str">
        <f t="shared" si="6"/>
        <v/>
      </c>
      <c r="Z47" s="18" t="str">
        <f t="shared" si="7"/>
        <v/>
      </c>
      <c r="AA47" s="20" t="str">
        <f t="shared" si="8"/>
        <v/>
      </c>
    </row>
    <row r="48" spans="19:27" s="9" customFormat="1" ht="20.149999999999999" hidden="1" customHeight="1" x14ac:dyDescent="0.35">
      <c r="S48" s="19" t="str">
        <f t="shared" si="0"/>
        <v/>
      </c>
      <c r="T48" s="19" t="str">
        <f t="shared" si="1"/>
        <v/>
      </c>
      <c r="U48" s="18" t="str">
        <f t="shared" si="2"/>
        <v/>
      </c>
      <c r="V48" s="18" t="str">
        <f t="shared" si="3"/>
        <v/>
      </c>
      <c r="W48" s="81" t="str">
        <f t="shared" si="4"/>
        <v/>
      </c>
      <c r="X48" s="20" t="str">
        <f t="shared" si="5"/>
        <v/>
      </c>
      <c r="Y48" s="20" t="str">
        <f t="shared" si="6"/>
        <v/>
      </c>
      <c r="Z48" s="18" t="str">
        <f t="shared" si="7"/>
        <v/>
      </c>
      <c r="AA48" s="20" t="str">
        <f t="shared" si="8"/>
        <v/>
      </c>
    </row>
    <row r="49" spans="19:27" s="9" customFormat="1" ht="20.149999999999999" hidden="1" customHeight="1" x14ac:dyDescent="0.35">
      <c r="S49" s="19" t="str">
        <f t="shared" si="0"/>
        <v/>
      </c>
      <c r="T49" s="19" t="str">
        <f t="shared" si="1"/>
        <v/>
      </c>
      <c r="U49" s="18" t="str">
        <f t="shared" si="2"/>
        <v/>
      </c>
      <c r="V49" s="18" t="str">
        <f t="shared" si="3"/>
        <v/>
      </c>
      <c r="W49" s="81" t="str">
        <f t="shared" si="4"/>
        <v/>
      </c>
      <c r="X49" s="20" t="str">
        <f t="shared" si="5"/>
        <v/>
      </c>
      <c r="Y49" s="20" t="str">
        <f t="shared" si="6"/>
        <v/>
      </c>
      <c r="Z49" s="18" t="str">
        <f t="shared" si="7"/>
        <v/>
      </c>
      <c r="AA49" s="20" t="str">
        <f t="shared" si="8"/>
        <v/>
      </c>
    </row>
    <row r="50" spans="19:27" s="9" customFormat="1" ht="20.149999999999999" hidden="1" customHeight="1" x14ac:dyDescent="0.35">
      <c r="S50" s="19" t="str">
        <f t="shared" si="0"/>
        <v/>
      </c>
      <c r="T50" s="19" t="str">
        <f t="shared" si="1"/>
        <v/>
      </c>
      <c r="U50" s="18" t="str">
        <f t="shared" si="2"/>
        <v/>
      </c>
      <c r="V50" s="18" t="str">
        <f t="shared" si="3"/>
        <v/>
      </c>
      <c r="W50" s="81" t="str">
        <f t="shared" si="4"/>
        <v/>
      </c>
      <c r="X50" s="20" t="str">
        <f t="shared" si="5"/>
        <v/>
      </c>
      <c r="Y50" s="20" t="str">
        <f t="shared" si="6"/>
        <v/>
      </c>
      <c r="Z50" s="18" t="str">
        <f t="shared" si="7"/>
        <v/>
      </c>
      <c r="AA50" s="20" t="str">
        <f t="shared" si="8"/>
        <v/>
      </c>
    </row>
    <row r="51" spans="19:27" s="9" customFormat="1" ht="20.149999999999999" hidden="1" customHeight="1" x14ac:dyDescent="0.35">
      <c r="S51" s="19" t="str">
        <f t="shared" si="0"/>
        <v/>
      </c>
      <c r="T51" s="19" t="str">
        <f t="shared" si="1"/>
        <v/>
      </c>
      <c r="U51" s="18" t="str">
        <f t="shared" si="2"/>
        <v/>
      </c>
      <c r="V51" s="18" t="str">
        <f t="shared" si="3"/>
        <v/>
      </c>
      <c r="W51" s="81" t="str">
        <f t="shared" si="4"/>
        <v/>
      </c>
      <c r="X51" s="20" t="str">
        <f t="shared" si="5"/>
        <v/>
      </c>
      <c r="Y51" s="20" t="str">
        <f t="shared" si="6"/>
        <v/>
      </c>
      <c r="Z51" s="18" t="str">
        <f t="shared" si="7"/>
        <v/>
      </c>
      <c r="AA51" s="20" t="str">
        <f t="shared" si="8"/>
        <v/>
      </c>
    </row>
    <row r="52" spans="19:27" s="9" customFormat="1" ht="20.149999999999999" hidden="1" customHeight="1" x14ac:dyDescent="0.35">
      <c r="S52" s="19" t="str">
        <f t="shared" si="0"/>
        <v/>
      </c>
      <c r="T52" s="19" t="str">
        <f t="shared" si="1"/>
        <v/>
      </c>
      <c r="U52" s="18" t="str">
        <f t="shared" si="2"/>
        <v/>
      </c>
      <c r="V52" s="18" t="str">
        <f t="shared" si="3"/>
        <v/>
      </c>
      <c r="W52" s="81" t="str">
        <f t="shared" si="4"/>
        <v/>
      </c>
      <c r="X52" s="20" t="str">
        <f t="shared" si="5"/>
        <v/>
      </c>
      <c r="Y52" s="20" t="str">
        <f t="shared" si="6"/>
        <v/>
      </c>
      <c r="Z52" s="18" t="str">
        <f t="shared" si="7"/>
        <v/>
      </c>
      <c r="AA52" s="20" t="str">
        <f t="shared" si="8"/>
        <v/>
      </c>
    </row>
    <row r="53" spans="19:27" s="9" customFormat="1" ht="20.149999999999999" hidden="1" customHeight="1" x14ac:dyDescent="0.35">
      <c r="S53" s="19" t="str">
        <f t="shared" si="0"/>
        <v/>
      </c>
      <c r="T53" s="19" t="str">
        <f t="shared" si="1"/>
        <v/>
      </c>
      <c r="U53" s="18" t="str">
        <f t="shared" si="2"/>
        <v/>
      </c>
      <c r="V53" s="18" t="str">
        <f t="shared" si="3"/>
        <v/>
      </c>
      <c r="W53" s="81" t="str">
        <f t="shared" si="4"/>
        <v/>
      </c>
      <c r="X53" s="20" t="str">
        <f t="shared" si="5"/>
        <v/>
      </c>
      <c r="Y53" s="20" t="str">
        <f t="shared" si="6"/>
        <v/>
      </c>
      <c r="Z53" s="18" t="str">
        <f t="shared" si="7"/>
        <v/>
      </c>
      <c r="AA53" s="20" t="str">
        <f t="shared" si="8"/>
        <v/>
      </c>
    </row>
    <row r="54" spans="19:27" s="9" customFormat="1" ht="20.149999999999999" hidden="1" customHeight="1" x14ac:dyDescent="0.35">
      <c r="S54" s="19" t="str">
        <f t="shared" si="0"/>
        <v/>
      </c>
      <c r="T54" s="19" t="str">
        <f t="shared" si="1"/>
        <v/>
      </c>
      <c r="U54" s="18" t="str">
        <f t="shared" si="2"/>
        <v/>
      </c>
      <c r="V54" s="18" t="str">
        <f t="shared" si="3"/>
        <v/>
      </c>
      <c r="W54" s="81" t="str">
        <f t="shared" si="4"/>
        <v/>
      </c>
      <c r="X54" s="20" t="str">
        <f t="shared" si="5"/>
        <v/>
      </c>
      <c r="Y54" s="20" t="str">
        <f t="shared" si="6"/>
        <v/>
      </c>
      <c r="Z54" s="18" t="str">
        <f t="shared" si="7"/>
        <v/>
      </c>
      <c r="AA54" s="20" t="str">
        <f t="shared" si="8"/>
        <v/>
      </c>
    </row>
    <row r="55" spans="19:27" s="9" customFormat="1" ht="20.149999999999999" hidden="1" customHeight="1" x14ac:dyDescent="0.35">
      <c r="S55" s="19" t="str">
        <f t="shared" si="0"/>
        <v/>
      </c>
      <c r="T55" s="19" t="str">
        <f t="shared" si="1"/>
        <v/>
      </c>
      <c r="U55" s="18" t="str">
        <f t="shared" si="2"/>
        <v/>
      </c>
      <c r="V55" s="18" t="str">
        <f t="shared" si="3"/>
        <v/>
      </c>
      <c r="W55" s="81" t="str">
        <f t="shared" si="4"/>
        <v/>
      </c>
      <c r="X55" s="20" t="str">
        <f t="shared" si="5"/>
        <v/>
      </c>
      <c r="Y55" s="20" t="str">
        <f t="shared" si="6"/>
        <v/>
      </c>
      <c r="Z55" s="18" t="str">
        <f t="shared" si="7"/>
        <v/>
      </c>
      <c r="AA55" s="20" t="str">
        <f t="shared" si="8"/>
        <v/>
      </c>
    </row>
    <row r="56" spans="19:27" ht="14.5" hidden="1" customHeight="1" x14ac:dyDescent="0.35"/>
    <row r="57" spans="19:27" ht="14.5" hidden="1" customHeight="1" x14ac:dyDescent="0.35"/>
    <row r="58" spans="19:27" ht="14.5" hidden="1" customHeight="1" x14ac:dyDescent="0.35"/>
    <row r="59" spans="19:27" ht="14.5" hidden="1" customHeight="1" x14ac:dyDescent="0.35"/>
    <row r="60" spans="19:27" ht="14.5" hidden="1" customHeight="1" x14ac:dyDescent="0.35"/>
    <row r="61" spans="19:27" ht="14.5" hidden="1" customHeight="1" x14ac:dyDescent="0.35"/>
    <row r="62" spans="19:27" ht="14.5" hidden="1" customHeight="1" x14ac:dyDescent="0.35"/>
    <row r="63" spans="19:27" ht="14.5" hidden="1" customHeight="1" x14ac:dyDescent="0.35"/>
    <row r="64" spans="19:27" ht="14.5" hidden="1" customHeight="1" x14ac:dyDescent="0.35"/>
    <row r="65" ht="14.5" hidden="1" customHeight="1" x14ac:dyDescent="0.35"/>
    <row r="66" ht="14.5" hidden="1" customHeight="1" x14ac:dyDescent="0.35"/>
    <row r="67" ht="14.5" hidden="1" customHeight="1" x14ac:dyDescent="0.35"/>
    <row r="68" ht="14.5" hidden="1" customHeight="1" x14ac:dyDescent="0.35"/>
    <row r="69" ht="14.5" hidden="1" customHeight="1" x14ac:dyDescent="0.35"/>
    <row r="70" ht="14.5" hidden="1" customHeight="1" x14ac:dyDescent="0.35"/>
    <row r="71" ht="14.5" hidden="1" customHeight="1" x14ac:dyDescent="0.35"/>
    <row r="72" ht="14.5" hidden="1" customHeight="1" x14ac:dyDescent="0.35"/>
    <row r="73" ht="14.5" hidden="1" customHeight="1" x14ac:dyDescent="0.35"/>
    <row r="74" ht="14.5" hidden="1" customHeight="1" x14ac:dyDescent="0.35"/>
    <row r="75" ht="14.5" hidden="1" customHeight="1" x14ac:dyDescent="0.35"/>
    <row r="76" ht="14.5" hidden="1" customHeight="1" x14ac:dyDescent="0.35"/>
    <row r="77" ht="14.5" hidden="1" customHeight="1" x14ac:dyDescent="0.35"/>
    <row r="78" ht="14.5" hidden="1" customHeight="1" x14ac:dyDescent="0.35"/>
    <row r="79" ht="14.5" hidden="1" customHeight="1" x14ac:dyDescent="0.35"/>
    <row r="80" ht="14.5" hidden="1" customHeight="1" x14ac:dyDescent="0.35"/>
    <row r="81" ht="14.5" hidden="1" customHeight="1" x14ac:dyDescent="0.35"/>
    <row r="82" ht="14.5" hidden="1" customHeight="1" x14ac:dyDescent="0.35"/>
    <row r="83" ht="14.5" hidden="1" customHeight="1" x14ac:dyDescent="0.35"/>
    <row r="84" ht="14.5" hidden="1" customHeight="1" x14ac:dyDescent="0.35"/>
    <row r="85" ht="14.5" hidden="1" customHeight="1" x14ac:dyDescent="0.35"/>
    <row r="86" ht="14.5" hidden="1" customHeight="1" x14ac:dyDescent="0.35"/>
    <row r="87" ht="14.5" hidden="1" customHeight="1" x14ac:dyDescent="0.35"/>
    <row r="88" ht="14.5" hidden="1" customHeight="1" x14ac:dyDescent="0.35"/>
    <row r="89" ht="14.5" hidden="1" customHeight="1" x14ac:dyDescent="0.35"/>
    <row r="90" ht="14.5" hidden="1" customHeight="1" x14ac:dyDescent="0.35"/>
    <row r="91" ht="14.5" hidden="1" customHeight="1" x14ac:dyDescent="0.35"/>
    <row r="92" ht="14.5" hidden="1" customHeight="1" x14ac:dyDescent="0.35"/>
    <row r="93" ht="14.5" hidden="1" customHeight="1" x14ac:dyDescent="0.35"/>
    <row r="94" ht="14.5" hidden="1" customHeight="1" x14ac:dyDescent="0.35"/>
    <row r="95" ht="14.5" hidden="1" customHeight="1" x14ac:dyDescent="0.35"/>
    <row r="96" ht="14.5" hidden="1" customHeight="1" x14ac:dyDescent="0.35"/>
    <row r="97" ht="14.5" hidden="1" customHeight="1" x14ac:dyDescent="0.35"/>
    <row r="98" ht="14.5" hidden="1" customHeight="1" x14ac:dyDescent="0.35"/>
    <row r="99" ht="14.5" hidden="1" customHeight="1" x14ac:dyDescent="0.35"/>
    <row r="100" ht="14.5" hidden="1" customHeight="1" x14ac:dyDescent="0.35"/>
    <row r="101" ht="14.5" hidden="1" customHeight="1" x14ac:dyDescent="0.35"/>
    <row r="102" ht="14.5" hidden="1" customHeight="1" x14ac:dyDescent="0.35"/>
    <row r="103" ht="14.5" hidden="1" customHeight="1" x14ac:dyDescent="0.35"/>
    <row r="104" ht="14.5" hidden="1" customHeight="1" x14ac:dyDescent="0.35"/>
    <row r="105" ht="14.5" hidden="1" customHeight="1" x14ac:dyDescent="0.35"/>
    <row r="106" ht="14.5" hidden="1" customHeight="1" x14ac:dyDescent="0.35"/>
    <row r="107" ht="14.5" hidden="1" customHeight="1" x14ac:dyDescent="0.35"/>
    <row r="108" ht="14.5" hidden="1" customHeight="1" x14ac:dyDescent="0.35"/>
    <row r="109" ht="14.5" hidden="1" customHeight="1" x14ac:dyDescent="0.35"/>
    <row r="110" ht="14.5" hidden="1" customHeight="1" x14ac:dyDescent="0.35"/>
    <row r="111" ht="14.5" hidden="1" customHeight="1" x14ac:dyDescent="0.35"/>
    <row r="112" ht="14.5" hidden="1" customHeight="1" x14ac:dyDescent="0.35"/>
    <row r="113" ht="14.5" hidden="1" customHeight="1" x14ac:dyDescent="0.35"/>
    <row r="114" ht="14.5" hidden="1" customHeight="1" x14ac:dyDescent="0.35"/>
    <row r="115" ht="14.5" hidden="1" customHeight="1" x14ac:dyDescent="0.35"/>
    <row r="116" ht="14.5" hidden="1" customHeight="1" x14ac:dyDescent="0.35"/>
    <row r="117" ht="14.5" hidden="1" customHeight="1" x14ac:dyDescent="0.35"/>
    <row r="118" ht="14.5" hidden="1" customHeight="1" x14ac:dyDescent="0.35"/>
    <row r="119" ht="14.5" hidden="1" customHeight="1" x14ac:dyDescent="0.35"/>
    <row r="120" ht="14.5" hidden="1" customHeight="1" x14ac:dyDescent="0.35"/>
    <row r="121" ht="14.5" hidden="1" customHeight="1" x14ac:dyDescent="0.35"/>
    <row r="122" ht="14.5" hidden="1" customHeight="1" x14ac:dyDescent="0.35"/>
    <row r="123" ht="14.5" hidden="1" customHeight="1" x14ac:dyDescent="0.35"/>
    <row r="124" ht="14.5" hidden="1" customHeight="1" x14ac:dyDescent="0.35"/>
    <row r="125" ht="14.5" hidden="1" customHeight="1" x14ac:dyDescent="0.35"/>
    <row r="126" ht="14.5" hidden="1" customHeight="1" x14ac:dyDescent="0.35"/>
    <row r="127" ht="14.5" hidden="1" customHeight="1" x14ac:dyDescent="0.35"/>
    <row r="128" ht="14.5" hidden="1" customHeight="1" x14ac:dyDescent="0.35"/>
    <row r="129" ht="14.5" hidden="1" customHeight="1" x14ac:dyDescent="0.35"/>
    <row r="130" ht="14.5" hidden="1" customHeight="1" x14ac:dyDescent="0.35"/>
    <row r="131" ht="14.5" hidden="1" customHeight="1" x14ac:dyDescent="0.35"/>
    <row r="132" ht="14.5" hidden="1" customHeight="1" x14ac:dyDescent="0.35"/>
    <row r="133" ht="14.5" hidden="1" customHeight="1" x14ac:dyDescent="0.35"/>
    <row r="134" ht="14.5" hidden="1" customHeight="1" x14ac:dyDescent="0.35"/>
    <row r="135" ht="14.5" hidden="1" customHeight="1" x14ac:dyDescent="0.35"/>
    <row r="136" ht="14.5" hidden="1" customHeight="1" x14ac:dyDescent="0.35"/>
    <row r="137" ht="14.5" hidden="1" customHeight="1" x14ac:dyDescent="0.35"/>
    <row r="138" ht="14.5" hidden="1" customHeight="1" x14ac:dyDescent="0.35"/>
    <row r="139" ht="14.5" hidden="1" customHeight="1" x14ac:dyDescent="0.35"/>
    <row r="140" ht="14.5" hidden="1" customHeight="1" x14ac:dyDescent="0.35"/>
    <row r="141" ht="14.5" hidden="1" customHeight="1" x14ac:dyDescent="0.35"/>
    <row r="142" ht="14.5" hidden="1" customHeight="1" x14ac:dyDescent="0.35"/>
    <row r="143" ht="14.5" hidden="1" customHeight="1" x14ac:dyDescent="0.35"/>
    <row r="144" ht="14.5" hidden="1" customHeight="1" x14ac:dyDescent="0.35"/>
    <row r="145" ht="14.5" hidden="1" customHeight="1" x14ac:dyDescent="0.35"/>
    <row r="146" ht="14.5" hidden="1" customHeight="1" x14ac:dyDescent="0.35"/>
    <row r="147" ht="14.5" hidden="1" customHeight="1" x14ac:dyDescent="0.35"/>
    <row r="148" ht="14.5" hidden="1" customHeight="1" x14ac:dyDescent="0.35"/>
    <row r="149" ht="14.5" hidden="1" customHeight="1" x14ac:dyDescent="0.35"/>
    <row r="150" ht="14.5" hidden="1" customHeight="1" x14ac:dyDescent="0.35"/>
    <row r="151" ht="14.5" hidden="1" customHeight="1" x14ac:dyDescent="0.35"/>
    <row r="152" ht="14.5" hidden="1" customHeight="1" x14ac:dyDescent="0.35"/>
    <row r="153" ht="14.5" hidden="1" customHeight="1" x14ac:dyDescent="0.35"/>
    <row r="154" ht="14.5" hidden="1" customHeight="1" x14ac:dyDescent="0.35"/>
    <row r="155" ht="14.5" hidden="1" customHeight="1" x14ac:dyDescent="0.35"/>
    <row r="156" ht="14.5" hidden="1" customHeight="1" x14ac:dyDescent="0.35"/>
    <row r="157" ht="14.5" hidden="1" customHeight="1" x14ac:dyDescent="0.35"/>
    <row r="158" ht="14.5" hidden="1" customHeight="1" x14ac:dyDescent="0.35"/>
    <row r="159" ht="14.5" hidden="1" customHeight="1" x14ac:dyDescent="0.35"/>
    <row r="160" ht="14.5" hidden="1" customHeight="1" x14ac:dyDescent="0.35"/>
    <row r="161" ht="14.5" hidden="1" customHeight="1" x14ac:dyDescent="0.35"/>
    <row r="162" ht="14.5" hidden="1" customHeight="1" x14ac:dyDescent="0.35"/>
    <row r="163" ht="14.5" hidden="1" customHeight="1" x14ac:dyDescent="0.35"/>
    <row r="164" ht="14.5" hidden="1" customHeight="1" x14ac:dyDescent="0.35"/>
    <row r="165" ht="14.5" hidden="1" customHeight="1" x14ac:dyDescent="0.35"/>
    <row r="166" ht="14.5" hidden="1" customHeight="1" x14ac:dyDescent="0.35"/>
    <row r="167" ht="14.5" hidden="1" customHeight="1" x14ac:dyDescent="0.35"/>
    <row r="168" ht="14.5" hidden="1" customHeight="1" x14ac:dyDescent="0.35"/>
    <row r="169" ht="14.5" hidden="1" customHeight="1" x14ac:dyDescent="0.35"/>
    <row r="170" ht="14.5" hidden="1" customHeight="1" x14ac:dyDescent="0.35"/>
    <row r="171" ht="14.5" hidden="1" customHeight="1" x14ac:dyDescent="0.35"/>
    <row r="172" ht="14.5" hidden="1" customHeight="1" x14ac:dyDescent="0.35"/>
    <row r="173" ht="14.5" hidden="1" customHeight="1" x14ac:dyDescent="0.35"/>
    <row r="174" ht="14.5" hidden="1" customHeight="1" x14ac:dyDescent="0.35"/>
    <row r="175" ht="14.5" hidden="1" customHeight="1" x14ac:dyDescent="0.35"/>
    <row r="176" ht="14.5" hidden="1" customHeight="1" x14ac:dyDescent="0.35"/>
    <row r="177" ht="14.5" hidden="1" customHeight="1" x14ac:dyDescent="0.35"/>
    <row r="178" ht="14.5" hidden="1" customHeight="1" x14ac:dyDescent="0.35"/>
    <row r="179" ht="14.5" hidden="1" customHeight="1" x14ac:dyDescent="0.35"/>
    <row r="180" ht="14.5" hidden="1" customHeight="1" x14ac:dyDescent="0.35"/>
    <row r="181" ht="14.5" hidden="1" customHeight="1" x14ac:dyDescent="0.35"/>
    <row r="182" ht="14.5" hidden="1" customHeight="1" x14ac:dyDescent="0.35"/>
    <row r="183" ht="14.5" hidden="1" customHeight="1" x14ac:dyDescent="0.35"/>
    <row r="184" ht="14.5" hidden="1" customHeight="1" x14ac:dyDescent="0.35"/>
    <row r="185" ht="14.5" hidden="1" customHeight="1" x14ac:dyDescent="0.35"/>
    <row r="186" ht="14.5" hidden="1" customHeight="1" x14ac:dyDescent="0.35"/>
    <row r="187" ht="14.5" hidden="1" customHeight="1" x14ac:dyDescent="0.35"/>
    <row r="188" ht="14.5" hidden="1" customHeight="1" x14ac:dyDescent="0.35"/>
    <row r="189" ht="14.5" hidden="1" customHeight="1" x14ac:dyDescent="0.35"/>
    <row r="190" ht="14.5" hidden="1" customHeight="1" x14ac:dyDescent="0.35"/>
    <row r="191" ht="14.5" hidden="1" customHeight="1" x14ac:dyDescent="0.35"/>
    <row r="192" ht="14.5" hidden="1" customHeight="1" x14ac:dyDescent="0.35"/>
    <row r="193" ht="14.5" hidden="1" customHeight="1" x14ac:dyDescent="0.35"/>
    <row r="194" ht="14.5" hidden="1" customHeight="1" x14ac:dyDescent="0.35"/>
    <row r="195" ht="14.5" hidden="1" customHeight="1" x14ac:dyDescent="0.35"/>
    <row r="196" ht="14.5" hidden="1" customHeight="1" x14ac:dyDescent="0.35"/>
    <row r="197" ht="14.5" hidden="1" customHeight="1" x14ac:dyDescent="0.35"/>
    <row r="198" ht="14.5" hidden="1" customHeight="1" x14ac:dyDescent="0.35"/>
    <row r="199" ht="14.5" hidden="1" customHeight="1" x14ac:dyDescent="0.35"/>
    <row r="200" ht="14.5" hidden="1" customHeight="1" x14ac:dyDescent="0.35"/>
    <row r="201" ht="14.5" hidden="1" customHeight="1" x14ac:dyDescent="0.35"/>
    <row r="202" ht="14.5" hidden="1" customHeight="1" x14ac:dyDescent="0.35"/>
    <row r="203" ht="14.5" hidden="1" customHeight="1" x14ac:dyDescent="0.35"/>
    <row r="204" ht="14.5" hidden="1" customHeight="1" x14ac:dyDescent="0.35"/>
    <row r="205" ht="14.5" hidden="1" customHeight="1" x14ac:dyDescent="0.35"/>
    <row r="206" ht="14.5" hidden="1" customHeight="1" x14ac:dyDescent="0.35"/>
    <row r="207" ht="14.5" hidden="1" customHeight="1" x14ac:dyDescent="0.35"/>
    <row r="208" ht="14.5" hidden="1" customHeight="1" x14ac:dyDescent="0.35"/>
    <row r="209" ht="14.5" hidden="1" customHeight="1" x14ac:dyDescent="0.35"/>
    <row r="210" ht="14.5" hidden="1" customHeight="1" x14ac:dyDescent="0.35"/>
    <row r="211" ht="14.5" hidden="1" customHeight="1" x14ac:dyDescent="0.35"/>
    <row r="212" ht="14.5" hidden="1" customHeight="1" x14ac:dyDescent="0.35"/>
    <row r="213" ht="14.5" hidden="1" customHeight="1" x14ac:dyDescent="0.35"/>
    <row r="214" ht="14.5" hidden="1" customHeight="1" x14ac:dyDescent="0.35"/>
    <row r="215" ht="14.5" hidden="1" customHeight="1" x14ac:dyDescent="0.35"/>
    <row r="216" ht="14.5" hidden="1" customHeight="1" x14ac:dyDescent="0.35"/>
    <row r="217" ht="14.5" hidden="1" customHeight="1" x14ac:dyDescent="0.35"/>
    <row r="218" ht="14.5" hidden="1" customHeight="1" x14ac:dyDescent="0.35"/>
    <row r="219" ht="14.5" hidden="1" customHeight="1" x14ac:dyDescent="0.35"/>
    <row r="220" ht="14.5" hidden="1" customHeight="1" x14ac:dyDescent="0.35"/>
    <row r="221" ht="14.5" hidden="1" customHeight="1" x14ac:dyDescent="0.35"/>
    <row r="222" ht="14.5" hidden="1" customHeight="1" x14ac:dyDescent="0.35"/>
    <row r="223" ht="14.5" hidden="1" customHeight="1" x14ac:dyDescent="0.35"/>
    <row r="224" ht="14.5" hidden="1" customHeight="1" x14ac:dyDescent="0.35"/>
    <row r="225" ht="14.5" hidden="1" customHeight="1" x14ac:dyDescent="0.35"/>
    <row r="226" ht="14.5" hidden="1" customHeight="1" x14ac:dyDescent="0.35"/>
    <row r="227" ht="14.5" hidden="1" customHeight="1" x14ac:dyDescent="0.35"/>
    <row r="228" ht="14.5" hidden="1" customHeight="1" x14ac:dyDescent="0.35"/>
    <row r="229" ht="14.5" hidden="1" customHeight="1" x14ac:dyDescent="0.35"/>
    <row r="230" ht="14.5" hidden="1" customHeight="1" x14ac:dyDescent="0.35"/>
    <row r="231" ht="14.5" hidden="1" customHeight="1" x14ac:dyDescent="0.35"/>
    <row r="232" ht="14.5" hidden="1" customHeight="1" x14ac:dyDescent="0.35"/>
    <row r="233" ht="14.5" hidden="1" customHeight="1" x14ac:dyDescent="0.35"/>
    <row r="234" ht="14.5" hidden="1" customHeight="1" x14ac:dyDescent="0.35"/>
    <row r="235" ht="14.5" hidden="1" customHeight="1" x14ac:dyDescent="0.35"/>
    <row r="236" ht="14.5" hidden="1" customHeight="1" x14ac:dyDescent="0.35"/>
    <row r="237" ht="14.5" hidden="1" customHeight="1" x14ac:dyDescent="0.35"/>
    <row r="238" ht="14.5" hidden="1" customHeight="1" x14ac:dyDescent="0.35"/>
    <row r="239" ht="14.5" hidden="1" customHeight="1" x14ac:dyDescent="0.35"/>
    <row r="240" ht="14.5" hidden="1" customHeight="1" x14ac:dyDescent="0.35"/>
    <row r="241" ht="14.5" hidden="1" customHeight="1" x14ac:dyDescent="0.35"/>
    <row r="242" ht="14.5" hidden="1" customHeight="1" x14ac:dyDescent="0.35"/>
    <row r="243" ht="14.5" hidden="1" customHeight="1" x14ac:dyDescent="0.35"/>
    <row r="244" ht="14.5" hidden="1" customHeight="1" x14ac:dyDescent="0.35"/>
    <row r="245" ht="14.5" hidden="1" customHeight="1" x14ac:dyDescent="0.35"/>
    <row r="246" ht="14.5" hidden="1" customHeight="1" x14ac:dyDescent="0.35"/>
    <row r="247" ht="14.5" hidden="1" customHeight="1" x14ac:dyDescent="0.35"/>
    <row r="248" ht="14.5" hidden="1" customHeight="1" x14ac:dyDescent="0.35"/>
    <row r="249" ht="14.5" hidden="1" customHeight="1" x14ac:dyDescent="0.35"/>
    <row r="250" ht="14.5" hidden="1" customHeight="1" x14ac:dyDescent="0.35"/>
    <row r="251" ht="14.5" hidden="1" customHeight="1" x14ac:dyDescent="0.35"/>
    <row r="252" ht="14.5" hidden="1" customHeight="1" x14ac:dyDescent="0.35"/>
    <row r="253" ht="14.5" hidden="1" customHeight="1" x14ac:dyDescent="0.35"/>
    <row r="254" ht="14.5" hidden="1" customHeight="1" x14ac:dyDescent="0.35"/>
    <row r="255" ht="14.5" hidden="1" customHeight="1" x14ac:dyDescent="0.35"/>
    <row r="256" ht="14.5" hidden="1" customHeight="1" x14ac:dyDescent="0.35"/>
    <row r="257" ht="14.5" hidden="1" customHeight="1" x14ac:dyDescent="0.35"/>
    <row r="258" ht="14.5" hidden="1" customHeight="1" x14ac:dyDescent="0.35"/>
    <row r="259" ht="14.5" hidden="1" customHeight="1" x14ac:dyDescent="0.35"/>
    <row r="260" ht="14.5" hidden="1" customHeight="1" x14ac:dyDescent="0.35"/>
    <row r="261" ht="14.5" hidden="1" customHeight="1" x14ac:dyDescent="0.35"/>
    <row r="262" ht="14.5" hidden="1" customHeight="1" x14ac:dyDescent="0.35"/>
    <row r="263" ht="14.5" hidden="1" customHeight="1" x14ac:dyDescent="0.35"/>
    <row r="264" ht="14.5" hidden="1" customHeight="1" x14ac:dyDescent="0.35"/>
    <row r="265" ht="14.5" hidden="1" customHeight="1" x14ac:dyDescent="0.35"/>
    <row r="266" ht="14.5" hidden="1" customHeight="1" x14ac:dyDescent="0.35"/>
    <row r="267" ht="14.5" hidden="1" customHeight="1" x14ac:dyDescent="0.35"/>
    <row r="268" ht="14.5" hidden="1" customHeight="1" x14ac:dyDescent="0.35"/>
    <row r="269" ht="14.5" hidden="1" customHeight="1" x14ac:dyDescent="0.35"/>
    <row r="270" ht="14.5" hidden="1" customHeight="1" x14ac:dyDescent="0.35"/>
    <row r="271" ht="14.5" hidden="1" customHeight="1" x14ac:dyDescent="0.35"/>
    <row r="272" ht="14.5" hidden="1" customHeight="1" x14ac:dyDescent="0.35"/>
    <row r="273" ht="14.5" hidden="1" customHeight="1" x14ac:dyDescent="0.35"/>
    <row r="274" ht="14.5" hidden="1" customHeight="1" x14ac:dyDescent="0.35"/>
    <row r="275" ht="14.5" hidden="1" customHeight="1" x14ac:dyDescent="0.35"/>
    <row r="276" ht="14.5" hidden="1" customHeight="1" x14ac:dyDescent="0.35"/>
    <row r="277" ht="14.5" hidden="1" customHeight="1" x14ac:dyDescent="0.35"/>
    <row r="278" ht="14.5" hidden="1" customHeight="1" x14ac:dyDescent="0.35"/>
    <row r="279" ht="14.5" hidden="1" customHeight="1" x14ac:dyDescent="0.35"/>
    <row r="280" ht="14.5" hidden="1" customHeight="1" x14ac:dyDescent="0.35"/>
    <row r="281" ht="14.5" hidden="1" customHeight="1" x14ac:dyDescent="0.35"/>
    <row r="282" ht="14.5" hidden="1" customHeight="1" x14ac:dyDescent="0.35"/>
    <row r="283" ht="14.5" hidden="1" customHeight="1" x14ac:dyDescent="0.35"/>
    <row r="284" ht="14.5" hidden="1" customHeight="1" x14ac:dyDescent="0.35"/>
    <row r="285" ht="14.5" hidden="1" customHeight="1" x14ac:dyDescent="0.35"/>
    <row r="286" ht="14.5" hidden="1" customHeight="1" x14ac:dyDescent="0.35"/>
    <row r="287" ht="14.5" hidden="1" customHeight="1" x14ac:dyDescent="0.35"/>
    <row r="288" ht="14.5" hidden="1" customHeight="1" x14ac:dyDescent="0.35"/>
    <row r="289" ht="14.5" hidden="1" customHeight="1" x14ac:dyDescent="0.35"/>
    <row r="290" ht="14.5" hidden="1" customHeight="1" x14ac:dyDescent="0.35"/>
    <row r="291" ht="14.5" hidden="1" customHeight="1" x14ac:dyDescent="0.35"/>
    <row r="292" ht="14.5" hidden="1" customHeight="1" x14ac:dyDescent="0.35"/>
    <row r="293" ht="14.5" hidden="1" customHeight="1" x14ac:dyDescent="0.35"/>
    <row r="294" ht="14.5" hidden="1" customHeight="1" x14ac:dyDescent="0.35"/>
    <row r="295" ht="14.5" hidden="1" customHeight="1" x14ac:dyDescent="0.35"/>
    <row r="296" ht="14.5" hidden="1" customHeight="1" x14ac:dyDescent="0.35"/>
    <row r="297" ht="14.5" hidden="1" customHeight="1" x14ac:dyDescent="0.35"/>
    <row r="298" ht="14.5" hidden="1" customHeight="1" x14ac:dyDescent="0.35"/>
    <row r="299" ht="14.5" hidden="1" customHeight="1" x14ac:dyDescent="0.35"/>
    <row r="300" ht="14.5" hidden="1" customHeight="1" x14ac:dyDescent="0.35"/>
    <row r="301" ht="14.5" hidden="1" customHeight="1" x14ac:dyDescent="0.35"/>
    <row r="302" ht="14.5" hidden="1" customHeight="1" x14ac:dyDescent="0.35"/>
    <row r="303" ht="14.5" hidden="1" customHeight="1" x14ac:dyDescent="0.35"/>
    <row r="304" ht="14.5" hidden="1" customHeight="1" x14ac:dyDescent="0.35"/>
    <row r="305" ht="14.5" hidden="1" customHeight="1" x14ac:dyDescent="0.35"/>
    <row r="306" ht="14.5" hidden="1" customHeight="1" x14ac:dyDescent="0.35"/>
    <row r="307" ht="14.5" hidden="1" customHeight="1" x14ac:dyDescent="0.35"/>
    <row r="308" ht="14.5" hidden="1" customHeight="1" x14ac:dyDescent="0.35"/>
    <row r="309" ht="14.5" hidden="1" customHeight="1" x14ac:dyDescent="0.35"/>
    <row r="310" ht="14.5" hidden="1" customHeight="1" x14ac:dyDescent="0.35"/>
    <row r="311" ht="14.5" hidden="1" customHeight="1" x14ac:dyDescent="0.35"/>
    <row r="312" ht="14.5" hidden="1" customHeight="1" x14ac:dyDescent="0.35"/>
    <row r="313" ht="14.5" hidden="1" customHeight="1" x14ac:dyDescent="0.35"/>
    <row r="314" ht="14.5" hidden="1" customHeight="1" x14ac:dyDescent="0.35"/>
    <row r="315" ht="14.5" hidden="1" customHeight="1" x14ac:dyDescent="0.35"/>
    <row r="316" ht="14.5" hidden="1" customHeight="1" x14ac:dyDescent="0.35"/>
    <row r="317" ht="14.5" hidden="1" customHeight="1" x14ac:dyDescent="0.35"/>
    <row r="318" ht="14.5" hidden="1" customHeight="1" x14ac:dyDescent="0.35"/>
    <row r="319" ht="14.5" hidden="1" customHeight="1" x14ac:dyDescent="0.35"/>
    <row r="320" ht="14.5" hidden="1" customHeight="1" x14ac:dyDescent="0.35"/>
    <row r="321" ht="14.5" hidden="1" customHeight="1" x14ac:dyDescent="0.35"/>
    <row r="322" ht="14.5" hidden="1" customHeight="1" x14ac:dyDescent="0.35"/>
    <row r="323" ht="14.5" hidden="1" customHeight="1" x14ac:dyDescent="0.35"/>
    <row r="324" ht="14.5" hidden="1" customHeight="1" x14ac:dyDescent="0.35"/>
    <row r="325" ht="14.5" hidden="1" customHeight="1" x14ac:dyDescent="0.35"/>
    <row r="326" ht="14.5" hidden="1" customHeight="1" x14ac:dyDescent="0.35"/>
    <row r="327" ht="14.5" hidden="1" customHeight="1" x14ac:dyDescent="0.35"/>
    <row r="328" ht="14.5" hidden="1" customHeight="1" x14ac:dyDescent="0.35"/>
    <row r="329" ht="14.5" hidden="1" customHeight="1" x14ac:dyDescent="0.35"/>
    <row r="330" ht="14.5" hidden="1" customHeight="1" x14ac:dyDescent="0.35"/>
    <row r="331" ht="14.5" hidden="1" customHeight="1" x14ac:dyDescent="0.35"/>
    <row r="332" ht="14.5" hidden="1" customHeight="1" x14ac:dyDescent="0.35"/>
    <row r="333" ht="14.5" hidden="1" customHeight="1" x14ac:dyDescent="0.35"/>
    <row r="334" ht="14.5" hidden="1" customHeight="1" x14ac:dyDescent="0.35"/>
    <row r="335" ht="14.5" hidden="1" customHeight="1" x14ac:dyDescent="0.35"/>
    <row r="336" ht="14.5" hidden="1" customHeight="1" x14ac:dyDescent="0.35"/>
    <row r="337" ht="14.5" hidden="1" customHeight="1" x14ac:dyDescent="0.35"/>
    <row r="338" ht="14.5" hidden="1" customHeight="1" x14ac:dyDescent="0.35"/>
    <row r="339" ht="14.5" hidden="1" customHeight="1" x14ac:dyDescent="0.35"/>
    <row r="340" ht="14.5" hidden="1" customHeight="1" x14ac:dyDescent="0.35"/>
    <row r="341" ht="14.5" hidden="1" customHeight="1" x14ac:dyDescent="0.35"/>
    <row r="342" ht="14.5" hidden="1" customHeight="1" x14ac:dyDescent="0.35"/>
    <row r="343" ht="14.5" hidden="1" customHeight="1" x14ac:dyDescent="0.35"/>
    <row r="344" ht="14.5" hidden="1" customHeight="1" x14ac:dyDescent="0.35"/>
    <row r="345" ht="14.5" hidden="1" customHeight="1" x14ac:dyDescent="0.35"/>
    <row r="346" ht="14.5" hidden="1" customHeight="1" x14ac:dyDescent="0.35"/>
    <row r="347" ht="14.5" hidden="1" customHeight="1" x14ac:dyDescent="0.35"/>
    <row r="348" ht="14.5" hidden="1" customHeight="1" x14ac:dyDescent="0.35"/>
    <row r="349" ht="14.5" hidden="1" customHeight="1" x14ac:dyDescent="0.35"/>
    <row r="350" ht="14.5" hidden="1" customHeight="1" x14ac:dyDescent="0.35"/>
    <row r="351" ht="14.5" hidden="1" customHeight="1" x14ac:dyDescent="0.35"/>
    <row r="352" ht="14.5" hidden="1" customHeight="1" x14ac:dyDescent="0.35"/>
    <row r="353" ht="14.5" hidden="1" customHeight="1" x14ac:dyDescent="0.35"/>
    <row r="354" ht="14.5" hidden="1" customHeight="1" x14ac:dyDescent="0.35"/>
    <row r="355" ht="14.5" hidden="1" customHeight="1" x14ac:dyDescent="0.35"/>
    <row r="356" ht="14.5" hidden="1" customHeight="1" x14ac:dyDescent="0.35"/>
    <row r="357" ht="14.5" hidden="1" customHeight="1" x14ac:dyDescent="0.35"/>
    <row r="358" ht="14.5" hidden="1" customHeight="1" x14ac:dyDescent="0.35"/>
    <row r="359" ht="14.5" hidden="1" customHeight="1" x14ac:dyDescent="0.35"/>
    <row r="360" ht="14.5" hidden="1" customHeight="1" x14ac:dyDescent="0.35"/>
    <row r="361" ht="14.5" hidden="1" customHeight="1" x14ac:dyDescent="0.35"/>
    <row r="362" ht="14.5" hidden="1" customHeight="1" x14ac:dyDescent="0.35"/>
    <row r="363" ht="14.5" hidden="1" customHeight="1" x14ac:dyDescent="0.35"/>
    <row r="364" ht="14.5" hidden="1" customHeight="1" x14ac:dyDescent="0.35"/>
    <row r="365" ht="14.5" hidden="1" customHeight="1" x14ac:dyDescent="0.35"/>
    <row r="366" ht="14.5" hidden="1" customHeight="1" x14ac:dyDescent="0.35"/>
    <row r="367" ht="14.5" hidden="1" customHeight="1" x14ac:dyDescent="0.35"/>
    <row r="368" ht="14.5" hidden="1" customHeight="1" x14ac:dyDescent="0.35"/>
    <row r="369" ht="14.5" hidden="1" customHeight="1" x14ac:dyDescent="0.35"/>
    <row r="370" ht="14.5" hidden="1" customHeight="1" x14ac:dyDescent="0.35"/>
    <row r="371" ht="14.5" hidden="1" customHeight="1" x14ac:dyDescent="0.35"/>
    <row r="372" ht="14.5" hidden="1" customHeight="1" x14ac:dyDescent="0.35"/>
    <row r="373" ht="14.5" hidden="1" customHeight="1" x14ac:dyDescent="0.35"/>
    <row r="374" ht="14.5" hidden="1" customHeight="1" x14ac:dyDescent="0.35"/>
    <row r="375" ht="14.5" hidden="1" customHeight="1" x14ac:dyDescent="0.35"/>
    <row r="376" ht="14.5" hidden="1" customHeight="1" x14ac:dyDescent="0.35"/>
    <row r="377" ht="14.5" hidden="1" customHeight="1" x14ac:dyDescent="0.35"/>
    <row r="378" ht="14.5" hidden="1" customHeight="1" x14ac:dyDescent="0.35"/>
    <row r="379" ht="14.5" hidden="1" customHeight="1" x14ac:dyDescent="0.35"/>
    <row r="380" ht="14.5" hidden="1" customHeight="1" x14ac:dyDescent="0.35"/>
    <row r="381" ht="14.5" hidden="1" customHeight="1" x14ac:dyDescent="0.35"/>
    <row r="382" ht="14.5" hidden="1" customHeight="1" x14ac:dyDescent="0.35"/>
    <row r="383" ht="14.5" hidden="1" customHeight="1" x14ac:dyDescent="0.35"/>
    <row r="384" ht="14.5" hidden="1" customHeight="1" x14ac:dyDescent="0.35"/>
    <row r="385" ht="14.5" hidden="1" customHeight="1" x14ac:dyDescent="0.35"/>
    <row r="386" ht="14.5" hidden="1" customHeight="1" x14ac:dyDescent="0.35"/>
  </sheetData>
  <mergeCells count="35">
    <mergeCell ref="N24:O24"/>
    <mergeCell ref="N25:O25"/>
    <mergeCell ref="N26:O26"/>
    <mergeCell ref="G21:H21"/>
    <mergeCell ref="G22:H22"/>
    <mergeCell ref="G23:H23"/>
    <mergeCell ref="G24:H24"/>
    <mergeCell ref="G25:H25"/>
    <mergeCell ref="G26:H26"/>
    <mergeCell ref="B20:G20"/>
    <mergeCell ref="J20:O20"/>
    <mergeCell ref="N21:O21"/>
    <mergeCell ref="N22:O22"/>
    <mergeCell ref="N23:O23"/>
    <mergeCell ref="G12:H12"/>
    <mergeCell ref="G13:H13"/>
    <mergeCell ref="L17:O17"/>
    <mergeCell ref="B18:E18"/>
    <mergeCell ref="G18:J18"/>
    <mergeCell ref="L18:O18"/>
    <mergeCell ref="B17:E17"/>
    <mergeCell ref="G17:J17"/>
    <mergeCell ref="N12:O12"/>
    <mergeCell ref="N13:O13"/>
    <mergeCell ref="G15:J15"/>
    <mergeCell ref="A2:A3"/>
    <mergeCell ref="N9:O9"/>
    <mergeCell ref="N10:O10"/>
    <mergeCell ref="N11:O11"/>
    <mergeCell ref="B2:I3"/>
    <mergeCell ref="G9:H9"/>
    <mergeCell ref="G10:H10"/>
    <mergeCell ref="G11:H11"/>
    <mergeCell ref="D5:H5"/>
    <mergeCell ref="D6:H6"/>
  </mergeCells>
  <dataValidations count="1">
    <dataValidation allowBlank="1" showInputMessage="1" showErrorMessage="1" errorTitle="ERROR!!" error="Original loan  tenure cannot be more than 30 years!" sqref="G10 G13" xr:uid="{FB8E8EBC-E68E-41F1-9FA0-251CEFE4A10B}"/>
  </dataValidations>
  <hyperlinks>
    <hyperlink ref="A2:A3" location="'Main Menu'!A1" tooltip="HOME" display="BACK" xr:uid="{9FFCCE59-F7F9-4E2E-9F6A-A1A16C4FFD5D}"/>
  </hyperlinks>
  <printOptions horizontalCentered="1"/>
  <pageMargins left="0.23622047244094491" right="0.23622047244094491" top="0.23622047244094491" bottom="0.23622047244094491" header="0.31496062992125984" footer="0.31496062992125984"/>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60E2E-36D3-44A5-BB7F-089AF87B34B1}">
  <dimension ref="A1:P54"/>
  <sheetViews>
    <sheetView showGridLines="0" zoomScaleNormal="100" workbookViewId="0">
      <selection activeCell="A2" sqref="A2:A3"/>
    </sheetView>
  </sheetViews>
  <sheetFormatPr defaultColWidth="0" defaultRowHeight="14.5" customHeight="1" zeroHeight="1" x14ac:dyDescent="0.35"/>
  <cols>
    <col min="1" max="15" width="9.1796875" style="6" customWidth="1"/>
    <col min="16" max="16" width="1.54296875" style="6" customWidth="1"/>
    <col min="17" max="16384" width="9.1796875" style="6" hidden="1"/>
  </cols>
  <sheetData>
    <row r="1" spans="1:15" x14ac:dyDescent="0.35"/>
    <row r="2" spans="1:15" ht="14.5" customHeight="1" x14ac:dyDescent="0.35">
      <c r="A2" s="289" t="s">
        <v>5</v>
      </c>
      <c r="B2" s="290" t="s">
        <v>3</v>
      </c>
      <c r="C2" s="290"/>
      <c r="D2" s="290"/>
      <c r="E2" s="290"/>
      <c r="F2" s="290"/>
      <c r="G2" s="290"/>
      <c r="H2" s="290"/>
      <c r="N2"/>
      <c r="O2"/>
    </row>
    <row r="3" spans="1:15" ht="14.5" customHeight="1" x14ac:dyDescent="0.35">
      <c r="A3" s="289"/>
      <c r="B3" s="291"/>
      <c r="C3" s="291"/>
      <c r="D3" s="291"/>
      <c r="E3" s="291"/>
      <c r="F3" s="291"/>
      <c r="G3" s="291"/>
      <c r="H3" s="291"/>
      <c r="N3"/>
      <c r="O3"/>
    </row>
    <row r="4" spans="1:15" x14ac:dyDescent="0.35"/>
    <row r="5" spans="1:15" ht="20.149999999999999" customHeight="1" x14ac:dyDescent="0.35">
      <c r="B5" s="808" t="s">
        <v>140</v>
      </c>
      <c r="C5" s="809"/>
      <c r="D5" s="809"/>
      <c r="E5" s="809"/>
      <c r="F5" s="809"/>
      <c r="G5" s="810"/>
      <c r="J5" s="808" t="s">
        <v>141</v>
      </c>
      <c r="K5" s="809"/>
      <c r="L5" s="809"/>
      <c r="M5" s="809"/>
      <c r="N5" s="809"/>
      <c r="O5" s="810"/>
    </row>
    <row r="6" spans="1:15" ht="20.149999999999999" customHeight="1" x14ac:dyDescent="0.35">
      <c r="B6" s="189" t="s">
        <v>142</v>
      </c>
      <c r="C6" s="190"/>
      <c r="D6" s="190"/>
      <c r="E6" s="190"/>
      <c r="F6" s="811">
        <v>20000</v>
      </c>
      <c r="G6" s="812"/>
      <c r="J6" s="189" t="s">
        <v>143</v>
      </c>
      <c r="K6" s="190"/>
      <c r="L6" s="190"/>
      <c r="M6" s="190"/>
      <c r="N6" s="811">
        <v>1000000</v>
      </c>
      <c r="O6" s="812"/>
    </row>
    <row r="7" spans="1:15" ht="20.149999999999999" customHeight="1" x14ac:dyDescent="0.35">
      <c r="B7" s="7" t="s">
        <v>13</v>
      </c>
      <c r="C7" s="29"/>
      <c r="D7" s="29"/>
      <c r="E7" s="29"/>
      <c r="F7" s="729">
        <v>10</v>
      </c>
      <c r="G7" s="813"/>
      <c r="J7" s="7" t="s">
        <v>144</v>
      </c>
      <c r="K7" s="29"/>
      <c r="L7" s="29"/>
      <c r="M7" s="29"/>
      <c r="N7" s="729">
        <v>10</v>
      </c>
      <c r="O7" s="813"/>
    </row>
    <row r="8" spans="1:15" ht="20.149999999999999" customHeight="1" x14ac:dyDescent="0.35">
      <c r="B8" s="7" t="s">
        <v>138</v>
      </c>
      <c r="C8" s="29"/>
      <c r="D8" s="29"/>
      <c r="E8" s="29"/>
      <c r="F8" s="593">
        <v>0.12</v>
      </c>
      <c r="G8" s="805"/>
      <c r="J8" s="7" t="s">
        <v>138</v>
      </c>
      <c r="K8" s="29"/>
      <c r="L8" s="29"/>
      <c r="M8" s="29"/>
      <c r="N8" s="593">
        <v>0.12</v>
      </c>
      <c r="O8" s="805"/>
    </row>
    <row r="9" spans="1:15" ht="20.149999999999999" customHeight="1" x14ac:dyDescent="0.35">
      <c r="B9" s="191" t="s">
        <v>145</v>
      </c>
      <c r="C9" s="164"/>
      <c r="D9" s="164"/>
      <c r="E9" s="164"/>
      <c r="F9" s="816">
        <f t="shared" ref="F9" si="0">FV((1+F8)^(1/12)-1,F7*12,-F6,,1)</f>
        <v>4480717.7911893232</v>
      </c>
      <c r="G9" s="817"/>
      <c r="J9" s="191" t="s">
        <v>145</v>
      </c>
      <c r="K9" s="164"/>
      <c r="L9" s="164"/>
      <c r="M9" s="164"/>
      <c r="N9" s="816">
        <f>FV(N8,N7,,-N6,1)</f>
        <v>3105848.2083442113</v>
      </c>
      <c r="O9" s="817"/>
    </row>
    <row r="10" spans="1:15" ht="20.149999999999999" customHeight="1" x14ac:dyDescent="0.35">
      <c r="B10" s="111"/>
      <c r="C10" s="111"/>
      <c r="D10" s="111"/>
      <c r="E10" s="111"/>
      <c r="F10" s="111"/>
      <c r="G10" s="111"/>
      <c r="J10" s="111"/>
      <c r="K10" s="111"/>
      <c r="L10" s="111"/>
      <c r="M10" s="111"/>
      <c r="N10" s="111"/>
      <c r="O10" s="111"/>
    </row>
    <row r="11" spans="1:15" ht="20.149999999999999" customHeight="1" x14ac:dyDescent="0.35">
      <c r="B11" s="808" t="s">
        <v>357</v>
      </c>
      <c r="C11" s="809"/>
      <c r="D11" s="809"/>
      <c r="E11" s="809"/>
      <c r="F11" s="809"/>
      <c r="G11" s="810"/>
      <c r="J11" s="808" t="s">
        <v>355</v>
      </c>
      <c r="K11" s="809"/>
      <c r="L11" s="809"/>
      <c r="M11" s="809"/>
      <c r="N11" s="809"/>
      <c r="O11" s="810"/>
    </row>
    <row r="12" spans="1:15" ht="20.149999999999999" customHeight="1" x14ac:dyDescent="0.35">
      <c r="B12" s="189" t="s">
        <v>142</v>
      </c>
      <c r="C12" s="190"/>
      <c r="D12" s="190"/>
      <c r="E12" s="190"/>
      <c r="F12" s="811">
        <v>20000</v>
      </c>
      <c r="G12" s="812"/>
      <c r="J12" s="189" t="s">
        <v>143</v>
      </c>
      <c r="K12" s="190"/>
      <c r="L12" s="190"/>
      <c r="M12" s="190"/>
      <c r="N12" s="811">
        <v>1000000</v>
      </c>
      <c r="O12" s="812"/>
    </row>
    <row r="13" spans="1:15" ht="20.149999999999999" customHeight="1" x14ac:dyDescent="0.35">
      <c r="B13" s="7" t="s">
        <v>146</v>
      </c>
      <c r="C13" s="29"/>
      <c r="D13" s="29"/>
      <c r="E13" s="29"/>
      <c r="F13" s="729">
        <v>5000000</v>
      </c>
      <c r="G13" s="813"/>
      <c r="J13" s="7" t="s">
        <v>146</v>
      </c>
      <c r="K13" s="29"/>
      <c r="L13" s="29"/>
      <c r="M13" s="29"/>
      <c r="N13" s="729">
        <v>3000000</v>
      </c>
      <c r="O13" s="813"/>
    </row>
    <row r="14" spans="1:15" ht="20.149999999999999" customHeight="1" x14ac:dyDescent="0.35">
      <c r="B14" s="7" t="s">
        <v>138</v>
      </c>
      <c r="C14" s="29"/>
      <c r="D14" s="29"/>
      <c r="E14" s="29"/>
      <c r="F14" s="593">
        <v>0.12</v>
      </c>
      <c r="G14" s="805"/>
      <c r="J14" s="7" t="s">
        <v>147</v>
      </c>
      <c r="K14" s="29"/>
      <c r="L14" s="29"/>
      <c r="M14" s="29"/>
      <c r="N14" s="593">
        <v>0.12</v>
      </c>
      <c r="O14" s="805"/>
    </row>
    <row r="15" spans="1:15" s="9" customFormat="1" ht="20.149999999999999" customHeight="1" x14ac:dyDescent="0.35">
      <c r="B15" s="191" t="s">
        <v>148</v>
      </c>
      <c r="C15" s="164"/>
      <c r="D15" s="164"/>
      <c r="E15" s="164"/>
      <c r="F15" s="806">
        <f t="shared" ref="F15" si="1">NPER((1+F14)^(1/12)-1,-F12,,F13,1)/12</f>
        <v>10.667472625152191</v>
      </c>
      <c r="G15" s="807"/>
      <c r="H15" s="6"/>
      <c r="J15" s="191" t="s">
        <v>148</v>
      </c>
      <c r="K15" s="164"/>
      <c r="L15" s="164"/>
      <c r="M15" s="164"/>
      <c r="N15" s="806">
        <f t="shared" ref="N15" si="2">NPER(N14,,-N12,N13)</f>
        <v>9.6940354129407673</v>
      </c>
      <c r="O15" s="807"/>
    </row>
    <row r="16" spans="1:15" s="9" customFormat="1" ht="20.149999999999999" customHeight="1" x14ac:dyDescent="0.35">
      <c r="B16" s="13"/>
      <c r="C16" s="13"/>
      <c r="D16" s="13"/>
      <c r="E16" s="13"/>
      <c r="F16" s="13"/>
      <c r="G16" s="13"/>
      <c r="H16" s="6"/>
      <c r="J16" s="13"/>
      <c r="K16" s="13"/>
      <c r="L16" s="13"/>
      <c r="M16" s="13"/>
      <c r="N16" s="13"/>
      <c r="O16" s="13"/>
    </row>
    <row r="17" spans="2:15" s="9" customFormat="1" ht="20.149999999999999" customHeight="1" x14ac:dyDescent="0.35">
      <c r="B17" s="808" t="s">
        <v>358</v>
      </c>
      <c r="C17" s="809"/>
      <c r="D17" s="809"/>
      <c r="E17" s="809"/>
      <c r="F17" s="809"/>
      <c r="G17" s="810"/>
      <c r="H17" s="6"/>
      <c r="J17" s="808" t="s">
        <v>356</v>
      </c>
      <c r="K17" s="809"/>
      <c r="L17" s="809"/>
      <c r="M17" s="809"/>
      <c r="N17" s="809"/>
      <c r="O17" s="810"/>
    </row>
    <row r="18" spans="2:15" s="9" customFormat="1" ht="20.149999999999999" customHeight="1" x14ac:dyDescent="0.35">
      <c r="B18" s="189" t="s">
        <v>146</v>
      </c>
      <c r="C18" s="190"/>
      <c r="D18" s="190"/>
      <c r="E18" s="190"/>
      <c r="F18" s="811">
        <v>5000000</v>
      </c>
      <c r="G18" s="812"/>
      <c r="H18" s="6"/>
      <c r="J18" s="189" t="s">
        <v>146</v>
      </c>
      <c r="K18" s="190"/>
      <c r="L18" s="190"/>
      <c r="M18" s="190"/>
      <c r="N18" s="811">
        <v>3000000</v>
      </c>
      <c r="O18" s="812"/>
    </row>
    <row r="19" spans="2:15" s="9" customFormat="1" ht="20.149999999999999" customHeight="1" x14ac:dyDescent="0.35">
      <c r="B19" s="7" t="s">
        <v>13</v>
      </c>
      <c r="C19" s="29"/>
      <c r="D19" s="29"/>
      <c r="E19" s="29"/>
      <c r="F19" s="729">
        <v>10</v>
      </c>
      <c r="G19" s="813"/>
      <c r="H19" s="6"/>
      <c r="J19" s="7" t="s">
        <v>144</v>
      </c>
      <c r="K19" s="29"/>
      <c r="L19" s="29"/>
      <c r="M19" s="29"/>
      <c r="N19" s="729">
        <v>10</v>
      </c>
      <c r="O19" s="813"/>
    </row>
    <row r="20" spans="2:15" s="9" customFormat="1" ht="20.149999999999999" customHeight="1" x14ac:dyDescent="0.35">
      <c r="B20" s="7" t="s">
        <v>138</v>
      </c>
      <c r="C20" s="29"/>
      <c r="D20" s="29"/>
      <c r="E20" s="29"/>
      <c r="F20" s="593">
        <v>0.12</v>
      </c>
      <c r="G20" s="805"/>
      <c r="H20" s="6"/>
      <c r="J20" s="7" t="s">
        <v>147</v>
      </c>
      <c r="K20" s="29"/>
      <c r="L20" s="29"/>
      <c r="M20" s="29"/>
      <c r="N20" s="593">
        <v>0.12</v>
      </c>
      <c r="O20" s="805"/>
    </row>
    <row r="21" spans="2:15" s="9" customFormat="1" ht="20.149999999999999" customHeight="1" x14ac:dyDescent="0.35">
      <c r="B21" s="191" t="s">
        <v>149</v>
      </c>
      <c r="C21" s="164"/>
      <c r="D21" s="164"/>
      <c r="E21" s="164"/>
      <c r="F21" s="816">
        <f t="shared" ref="F21" si="3">-PMT((1+F20)^(1/12)-1,F19*12,,F18,1)</f>
        <v>22317.852777212611</v>
      </c>
      <c r="G21" s="817"/>
      <c r="H21" s="6"/>
      <c r="J21" s="191" t="s">
        <v>150</v>
      </c>
      <c r="K21" s="164"/>
      <c r="L21" s="164"/>
      <c r="M21" s="164"/>
      <c r="N21" s="816">
        <f t="shared" ref="N21" si="4">-PV(N20,N19,,N18)</f>
        <v>965919.70977208798</v>
      </c>
      <c r="O21" s="817"/>
    </row>
    <row r="22" spans="2:15" s="9" customFormat="1" ht="20.149999999999999" customHeight="1" x14ac:dyDescent="0.35">
      <c r="B22" s="13"/>
      <c r="C22" s="13"/>
      <c r="D22" s="13"/>
      <c r="E22" s="13"/>
      <c r="F22" s="13"/>
      <c r="G22" s="13"/>
      <c r="H22" s="6"/>
      <c r="J22" s="13"/>
      <c r="K22" s="13"/>
      <c r="L22" s="13"/>
      <c r="M22" s="13"/>
      <c r="N22" s="13"/>
      <c r="O22" s="13"/>
    </row>
    <row r="23" spans="2:15" s="9" customFormat="1" ht="20.149999999999999" customHeight="1" x14ac:dyDescent="0.35">
      <c r="B23" s="808" t="s">
        <v>359</v>
      </c>
      <c r="C23" s="809"/>
      <c r="D23" s="809"/>
      <c r="E23" s="809"/>
      <c r="F23" s="809"/>
      <c r="G23" s="810"/>
      <c r="H23" s="6"/>
      <c r="J23" s="808" t="s">
        <v>354</v>
      </c>
      <c r="K23" s="809"/>
      <c r="L23" s="809"/>
      <c r="M23" s="809"/>
      <c r="N23" s="809"/>
      <c r="O23" s="810"/>
    </row>
    <row r="24" spans="2:15" s="9" customFormat="1" ht="20.149999999999999" customHeight="1" x14ac:dyDescent="0.35">
      <c r="B24" s="189" t="s">
        <v>142</v>
      </c>
      <c r="C24" s="190"/>
      <c r="D24" s="190"/>
      <c r="E24" s="190"/>
      <c r="F24" s="811">
        <v>20000</v>
      </c>
      <c r="G24" s="812"/>
      <c r="H24" s="6"/>
      <c r="J24" s="189" t="s">
        <v>143</v>
      </c>
      <c r="K24" s="190"/>
      <c r="L24" s="190"/>
      <c r="M24" s="190"/>
      <c r="N24" s="811">
        <v>1000000</v>
      </c>
      <c r="O24" s="812"/>
    </row>
    <row r="25" spans="2:15" s="9" customFormat="1" ht="20.149999999999999" customHeight="1" x14ac:dyDescent="0.35">
      <c r="B25" s="7" t="s">
        <v>146</v>
      </c>
      <c r="C25" s="29"/>
      <c r="D25" s="29"/>
      <c r="E25" s="29"/>
      <c r="F25" s="729">
        <v>5000000</v>
      </c>
      <c r="G25" s="813"/>
      <c r="J25" s="7" t="s">
        <v>146</v>
      </c>
      <c r="K25" s="29"/>
      <c r="L25" s="29"/>
      <c r="M25" s="29"/>
      <c r="N25" s="729">
        <v>3000000</v>
      </c>
      <c r="O25" s="813"/>
    </row>
    <row r="26" spans="2:15" s="9" customFormat="1" ht="20.149999999999999" customHeight="1" x14ac:dyDescent="0.35">
      <c r="B26" s="7" t="s">
        <v>13</v>
      </c>
      <c r="C26" s="29"/>
      <c r="D26" s="29"/>
      <c r="E26" s="29"/>
      <c r="F26" s="297">
        <v>10</v>
      </c>
      <c r="G26" s="298"/>
      <c r="J26" s="7" t="s">
        <v>144</v>
      </c>
      <c r="K26" s="29"/>
      <c r="L26" s="29"/>
      <c r="M26" s="29"/>
      <c r="N26" s="297">
        <v>10</v>
      </c>
      <c r="O26" s="298"/>
    </row>
    <row r="27" spans="2:15" s="9" customFormat="1" ht="20.149999999999999" customHeight="1" x14ac:dyDescent="0.35">
      <c r="B27" s="191" t="s">
        <v>151</v>
      </c>
      <c r="C27" s="192"/>
      <c r="D27" s="192"/>
      <c r="E27" s="192"/>
      <c r="F27" s="814">
        <f>(1+RATE(F26*12,-F24,,F25,1))^12-1</f>
        <v>0.14052943554701924</v>
      </c>
      <c r="G27" s="815"/>
      <c r="J27" s="191" t="s">
        <v>151</v>
      </c>
      <c r="K27" s="192"/>
      <c r="L27" s="192"/>
      <c r="M27" s="192"/>
      <c r="N27" s="814">
        <f t="shared" ref="N27" si="5">RATE(N26,,-N24,N25)</f>
        <v>0.11612317403390425</v>
      </c>
      <c r="O27" s="815"/>
    </row>
    <row r="28" spans="2:15" s="9" customFormat="1" ht="20.149999999999999" customHeight="1" x14ac:dyDescent="0.35">
      <c r="B28" s="803" t="s">
        <v>255</v>
      </c>
      <c r="C28" s="803"/>
      <c r="D28" s="803"/>
      <c r="E28" s="803"/>
      <c r="F28" s="803"/>
      <c r="G28" s="803"/>
      <c r="I28"/>
      <c r="J28" s="803" t="s">
        <v>256</v>
      </c>
      <c r="K28" s="803"/>
      <c r="L28" s="803"/>
      <c r="M28" s="803"/>
      <c r="N28" s="803"/>
      <c r="O28" s="803"/>
    </row>
    <row r="29" spans="2:15" ht="20.149999999999999" customHeight="1" x14ac:dyDescent="0.35">
      <c r="B29" s="804" t="str">
        <f>" "&amp;UPPER('Main Menu'!C29)</f>
        <v xml:space="preserve"> CLIENT NAME</v>
      </c>
      <c r="C29" s="804"/>
      <c r="D29" s="804"/>
      <c r="E29" s="804"/>
      <c r="F29" s="804"/>
      <c r="G29" s="804"/>
      <c r="H29" s="53" t="str">
        <f ca="1">"Dated: "&amp; TEXT(TODAY(),"DD-MMM-YYYY")</f>
        <v>Dated: 28-Aug-2025</v>
      </c>
      <c r="I29"/>
      <c r="J29" s="804" t="str">
        <f>" "&amp;UPPER('Main Menu'!L29)</f>
        <v xml:space="preserve"> PARTNER NAME</v>
      </c>
      <c r="K29" s="804"/>
      <c r="L29" s="804"/>
      <c r="M29" s="804"/>
      <c r="N29" s="804"/>
      <c r="O29" s="804"/>
    </row>
    <row r="30" spans="2:15" x14ac:dyDescent="0.35">
      <c r="G30" s="9"/>
      <c r="J30" s="9"/>
    </row>
    <row r="31" spans="2:15" hidden="1" x14ac:dyDescent="0.35"/>
    <row r="32" spans="2:15" hidden="1" x14ac:dyDescent="0.35"/>
    <row r="33" hidden="1" x14ac:dyDescent="0.35"/>
    <row r="34" hidden="1" x14ac:dyDescent="0.35"/>
    <row r="35" hidden="1" x14ac:dyDescent="0.35"/>
    <row r="36" hidden="1" x14ac:dyDescent="0.35"/>
    <row r="37" hidden="1" x14ac:dyDescent="0.35"/>
    <row r="38" hidden="1" x14ac:dyDescent="0.35"/>
    <row r="39" hidden="1" x14ac:dyDescent="0.35"/>
    <row r="40" hidden="1" x14ac:dyDescent="0.35"/>
    <row r="41" hidden="1" x14ac:dyDescent="0.35"/>
    <row r="42" hidden="1" x14ac:dyDescent="0.35"/>
    <row r="43" hidden="1" x14ac:dyDescent="0.35"/>
    <row r="44" hidden="1" x14ac:dyDescent="0.35"/>
    <row r="45" hidden="1" x14ac:dyDescent="0.35"/>
    <row r="46" hidden="1" x14ac:dyDescent="0.35"/>
    <row r="47" hidden="1" x14ac:dyDescent="0.35"/>
    <row r="48" hidden="1" x14ac:dyDescent="0.35"/>
    <row r="49" hidden="1" x14ac:dyDescent="0.35"/>
    <row r="50" hidden="1" x14ac:dyDescent="0.35"/>
    <row r="51" hidden="1" x14ac:dyDescent="0.35"/>
    <row r="52" hidden="1" x14ac:dyDescent="0.35"/>
    <row r="53" hidden="1" x14ac:dyDescent="0.35"/>
    <row r="54" hidden="1" x14ac:dyDescent="0.35"/>
  </sheetData>
  <mergeCells count="46">
    <mergeCell ref="N7:O7"/>
    <mergeCell ref="F25:G25"/>
    <mergeCell ref="F24:G24"/>
    <mergeCell ref="F19:G19"/>
    <mergeCell ref="F7:G7"/>
    <mergeCell ref="F15:G15"/>
    <mergeCell ref="B11:G11"/>
    <mergeCell ref="B17:G17"/>
    <mergeCell ref="B23:G23"/>
    <mergeCell ref="F8:G8"/>
    <mergeCell ref="F9:G9"/>
    <mergeCell ref="F12:G12"/>
    <mergeCell ref="F13:G13"/>
    <mergeCell ref="F14:G14"/>
    <mergeCell ref="N20:O20"/>
    <mergeCell ref="N21:O21"/>
    <mergeCell ref="B5:G5"/>
    <mergeCell ref="J5:O5"/>
    <mergeCell ref="N6:O6"/>
    <mergeCell ref="A2:A3"/>
    <mergeCell ref="B2:H3"/>
    <mergeCell ref="F6:G6"/>
    <mergeCell ref="J23:O23"/>
    <mergeCell ref="N24:O24"/>
    <mergeCell ref="N25:O25"/>
    <mergeCell ref="N8:O8"/>
    <mergeCell ref="N9:O9"/>
    <mergeCell ref="J11:O11"/>
    <mergeCell ref="N12:O12"/>
    <mergeCell ref="N13:O13"/>
    <mergeCell ref="B28:G28"/>
    <mergeCell ref="J28:O28"/>
    <mergeCell ref="B29:G29"/>
    <mergeCell ref="J29:O29"/>
    <mergeCell ref="N14:O14"/>
    <mergeCell ref="N15:O15"/>
    <mergeCell ref="J17:O17"/>
    <mergeCell ref="N18:O18"/>
    <mergeCell ref="N19:O19"/>
    <mergeCell ref="F18:G18"/>
    <mergeCell ref="N26:O26"/>
    <mergeCell ref="N27:O27"/>
    <mergeCell ref="F26:G26"/>
    <mergeCell ref="F27:G27"/>
    <mergeCell ref="F20:G20"/>
    <mergeCell ref="F21:G21"/>
  </mergeCells>
  <hyperlinks>
    <hyperlink ref="A2:A3" location="'Main Menu'!A1" tooltip="HOME" display="BACK" xr:uid="{12CB359B-5942-4E37-8B0E-86679139B332}"/>
  </hyperlinks>
  <printOptions horizontalCentered="1"/>
  <pageMargins left="0.23622047244094491" right="0.23622047244094491" top="0.23622047244094491" bottom="0.23622047244094491" header="0.31496062992125984" footer="0.31496062992125984"/>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0CAA4-EF52-4BF7-AEAB-691BE2BA62A9}">
  <dimension ref="A1:O55"/>
  <sheetViews>
    <sheetView showGridLines="0" zoomScaleNormal="100" workbookViewId="0">
      <selection activeCell="B5" sqref="B5:N14"/>
    </sheetView>
  </sheetViews>
  <sheetFormatPr defaultColWidth="0" defaultRowHeight="14.5" customHeight="1" zeroHeight="1" x14ac:dyDescent="0.35"/>
  <cols>
    <col min="1" max="15" width="9.1796875" style="6" customWidth="1"/>
    <col min="16" max="16384" width="9.1796875" style="6" hidden="1"/>
  </cols>
  <sheetData>
    <row r="1" spans="1:15" x14ac:dyDescent="0.35"/>
    <row r="2" spans="1:15" ht="14.5" customHeight="1" x14ac:dyDescent="0.35">
      <c r="A2" s="289" t="s">
        <v>5</v>
      </c>
      <c r="B2" s="818" t="s">
        <v>6</v>
      </c>
      <c r="C2" s="818"/>
      <c r="D2" s="818"/>
      <c r="E2" s="818"/>
      <c r="F2" s="818"/>
      <c r="G2" s="818"/>
      <c r="H2" s="818"/>
    </row>
    <row r="3" spans="1:15" ht="14.5" customHeight="1" x14ac:dyDescent="0.35">
      <c r="A3" s="289"/>
      <c r="B3" s="819"/>
      <c r="C3" s="819"/>
      <c r="D3" s="819"/>
      <c r="E3" s="819"/>
      <c r="F3" s="819"/>
      <c r="G3" s="819"/>
      <c r="H3" s="819"/>
    </row>
    <row r="4" spans="1:15" x14ac:dyDescent="0.35"/>
    <row r="5" spans="1:15" ht="20.149999999999999" customHeight="1" x14ac:dyDescent="0.35">
      <c r="B5" s="820" t="s">
        <v>212</v>
      </c>
      <c r="C5" s="821"/>
      <c r="D5" s="821"/>
      <c r="E5" s="821"/>
      <c r="F5" s="821"/>
      <c r="G5" s="821"/>
      <c r="H5" s="821"/>
      <c r="I5" s="821"/>
      <c r="J5" s="821"/>
      <c r="K5" s="821"/>
      <c r="L5" s="821"/>
      <c r="M5" s="821"/>
      <c r="N5" s="822"/>
    </row>
    <row r="6" spans="1:15" ht="20.149999999999999" customHeight="1" x14ac:dyDescent="0.35">
      <c r="B6" s="823"/>
      <c r="C6" s="824"/>
      <c r="D6" s="824"/>
      <c r="E6" s="824"/>
      <c r="F6" s="824"/>
      <c r="G6" s="824"/>
      <c r="H6" s="824"/>
      <c r="I6" s="824"/>
      <c r="J6" s="824"/>
      <c r="K6" s="824"/>
      <c r="L6" s="824"/>
      <c r="M6" s="824"/>
      <c r="N6" s="825"/>
    </row>
    <row r="7" spans="1:15" ht="20.149999999999999" customHeight="1" x14ac:dyDescent="0.35">
      <c r="B7" s="823"/>
      <c r="C7" s="824"/>
      <c r="D7" s="824"/>
      <c r="E7" s="824"/>
      <c r="F7" s="824"/>
      <c r="G7" s="824"/>
      <c r="H7" s="824"/>
      <c r="I7" s="824"/>
      <c r="J7" s="824"/>
      <c r="K7" s="824"/>
      <c r="L7" s="824"/>
      <c r="M7" s="824"/>
      <c r="N7" s="825"/>
    </row>
    <row r="8" spans="1:15" ht="20.149999999999999" customHeight="1" x14ac:dyDescent="0.35">
      <c r="B8" s="823"/>
      <c r="C8" s="824"/>
      <c r="D8" s="824"/>
      <c r="E8" s="824"/>
      <c r="F8" s="824"/>
      <c r="G8" s="824"/>
      <c r="H8" s="824"/>
      <c r="I8" s="824"/>
      <c r="J8" s="824"/>
      <c r="K8" s="824"/>
      <c r="L8" s="824"/>
      <c r="M8" s="824"/>
      <c r="N8" s="825"/>
    </row>
    <row r="9" spans="1:15" ht="20.149999999999999" customHeight="1" x14ac:dyDescent="0.35">
      <c r="B9" s="823"/>
      <c r="C9" s="824"/>
      <c r="D9" s="824"/>
      <c r="E9" s="824"/>
      <c r="F9" s="824"/>
      <c r="G9" s="824"/>
      <c r="H9" s="824"/>
      <c r="I9" s="824"/>
      <c r="J9" s="824"/>
      <c r="K9" s="824"/>
      <c r="L9" s="824"/>
      <c r="M9" s="824"/>
      <c r="N9" s="825"/>
    </row>
    <row r="10" spans="1:15" ht="20.149999999999999" customHeight="1" x14ac:dyDescent="0.35">
      <c r="B10" s="823"/>
      <c r="C10" s="824"/>
      <c r="D10" s="824"/>
      <c r="E10" s="824"/>
      <c r="F10" s="824"/>
      <c r="G10" s="824"/>
      <c r="H10" s="824"/>
      <c r="I10" s="824"/>
      <c r="J10" s="824"/>
      <c r="K10" s="824"/>
      <c r="L10" s="824"/>
      <c r="M10" s="824"/>
      <c r="N10" s="825"/>
    </row>
    <row r="11" spans="1:15" ht="20.149999999999999" customHeight="1" x14ac:dyDescent="0.35">
      <c r="B11" s="823"/>
      <c r="C11" s="824"/>
      <c r="D11" s="824"/>
      <c r="E11" s="824"/>
      <c r="F11" s="824"/>
      <c r="G11" s="824"/>
      <c r="H11" s="824"/>
      <c r="I11" s="824"/>
      <c r="J11" s="824"/>
      <c r="K11" s="824"/>
      <c r="L11" s="824"/>
      <c r="M11" s="824"/>
      <c r="N11" s="825"/>
    </row>
    <row r="12" spans="1:15" ht="20.149999999999999" customHeight="1" x14ac:dyDescent="0.35">
      <c r="B12" s="823"/>
      <c r="C12" s="824"/>
      <c r="D12" s="824"/>
      <c r="E12" s="824"/>
      <c r="F12" s="824"/>
      <c r="G12" s="824"/>
      <c r="H12" s="824"/>
      <c r="I12" s="824"/>
      <c r="J12" s="824"/>
      <c r="K12" s="824"/>
      <c r="L12" s="824"/>
      <c r="M12" s="824"/>
      <c r="N12" s="825"/>
    </row>
    <row r="13" spans="1:15" ht="20.149999999999999" customHeight="1" x14ac:dyDescent="0.35">
      <c r="B13" s="823"/>
      <c r="C13" s="824"/>
      <c r="D13" s="824"/>
      <c r="E13" s="824"/>
      <c r="F13" s="824"/>
      <c r="G13" s="824"/>
      <c r="H13" s="824"/>
      <c r="I13" s="824"/>
      <c r="J13" s="824"/>
      <c r="K13" s="824"/>
      <c r="L13" s="824"/>
      <c r="M13" s="824"/>
      <c r="N13" s="825"/>
    </row>
    <row r="14" spans="1:15" ht="20.149999999999999" customHeight="1" x14ac:dyDescent="0.35">
      <c r="B14" s="826"/>
      <c r="C14" s="827"/>
      <c r="D14" s="827"/>
      <c r="E14" s="827"/>
      <c r="F14" s="827"/>
      <c r="G14" s="827"/>
      <c r="H14" s="827"/>
      <c r="I14" s="827"/>
      <c r="J14" s="827"/>
      <c r="K14" s="827"/>
      <c r="L14" s="827"/>
      <c r="M14" s="827"/>
      <c r="N14" s="828"/>
    </row>
    <row r="15" spans="1:15" ht="20.149999999999999" customHeight="1" x14ac:dyDescent="0.35"/>
    <row r="16" spans="1:15" s="9" customFormat="1" ht="20.149999999999999" hidden="1" customHeight="1" x14ac:dyDescent="0.35">
      <c r="B16" s="6"/>
      <c r="C16" s="6"/>
      <c r="D16" s="6"/>
      <c r="E16" s="6"/>
      <c r="F16" s="6"/>
      <c r="G16" s="6"/>
      <c r="H16" s="6"/>
      <c r="I16" s="6"/>
      <c r="J16" s="6"/>
      <c r="K16" s="6"/>
      <c r="L16" s="6"/>
      <c r="M16" s="6"/>
      <c r="N16" s="6"/>
      <c r="O16" s="6"/>
    </row>
    <row r="17" spans="2:15" s="9" customFormat="1" ht="20.149999999999999" hidden="1" customHeight="1" x14ac:dyDescent="0.35">
      <c r="B17" s="6"/>
      <c r="C17" s="6"/>
      <c r="D17" s="6"/>
      <c r="E17" s="6"/>
      <c r="F17" s="6"/>
      <c r="G17" s="6"/>
      <c r="H17" s="6"/>
      <c r="I17" s="6"/>
      <c r="J17" s="6"/>
      <c r="K17" s="6"/>
      <c r="L17" s="6"/>
      <c r="M17" s="6"/>
      <c r="N17" s="6"/>
      <c r="O17" s="6"/>
    </row>
    <row r="18" spans="2:15" s="9" customFormat="1" ht="20.149999999999999" hidden="1" customHeight="1" x14ac:dyDescent="0.35">
      <c r="B18" s="6"/>
      <c r="C18" s="6"/>
      <c r="D18" s="6"/>
      <c r="E18" s="6"/>
      <c r="F18" s="6"/>
      <c r="G18" s="6"/>
      <c r="H18" s="6"/>
      <c r="I18" s="6"/>
      <c r="J18" s="6"/>
      <c r="K18" s="6"/>
      <c r="L18" s="6"/>
      <c r="M18" s="6"/>
      <c r="N18" s="6"/>
      <c r="O18" s="6"/>
    </row>
    <row r="19" spans="2:15" s="9" customFormat="1" ht="20.149999999999999" hidden="1" customHeight="1" x14ac:dyDescent="0.35">
      <c r="B19" s="6"/>
      <c r="C19" s="6"/>
      <c r="D19" s="6"/>
      <c r="E19" s="6"/>
      <c r="F19" s="6"/>
      <c r="G19" s="6"/>
      <c r="H19" s="6"/>
      <c r="I19" s="6"/>
      <c r="J19" s="6"/>
      <c r="K19" s="6"/>
      <c r="L19" s="6"/>
      <c r="M19" s="6"/>
      <c r="N19" s="6"/>
      <c r="O19" s="6"/>
    </row>
    <row r="20" spans="2:15" s="9" customFormat="1" ht="20.149999999999999" hidden="1" customHeight="1" x14ac:dyDescent="0.35">
      <c r="B20" s="6"/>
      <c r="C20" s="6"/>
      <c r="D20" s="6"/>
      <c r="E20" s="6"/>
      <c r="F20" s="6"/>
      <c r="G20" s="6"/>
      <c r="H20" s="6"/>
      <c r="I20" s="6"/>
      <c r="J20" s="6"/>
      <c r="K20" s="6"/>
      <c r="L20" s="6"/>
      <c r="M20" s="6"/>
      <c r="N20" s="6"/>
      <c r="O20" s="6"/>
    </row>
    <row r="21" spans="2:15" s="9" customFormat="1" ht="20.149999999999999" hidden="1" customHeight="1" x14ac:dyDescent="0.35">
      <c r="B21" s="6"/>
      <c r="C21" s="6"/>
      <c r="D21" s="6"/>
      <c r="E21" s="6"/>
      <c r="F21" s="6"/>
      <c r="G21" s="6"/>
      <c r="H21" s="6"/>
      <c r="I21" s="6"/>
      <c r="J21" s="6"/>
      <c r="K21" s="6"/>
      <c r="L21" s="6"/>
      <c r="M21" s="6"/>
      <c r="N21" s="6"/>
      <c r="O21" s="6"/>
    </row>
    <row r="22" spans="2:15" s="9" customFormat="1" ht="20.149999999999999" hidden="1" customHeight="1" x14ac:dyDescent="0.35">
      <c r="B22" s="6"/>
      <c r="C22" s="6"/>
      <c r="D22" s="6"/>
      <c r="E22" s="6"/>
      <c r="F22" s="6"/>
      <c r="G22" s="6"/>
      <c r="H22" s="6"/>
      <c r="I22" s="6"/>
      <c r="J22" s="6"/>
      <c r="K22" s="6"/>
      <c r="L22" s="6"/>
      <c r="M22" s="6"/>
      <c r="N22" s="6"/>
      <c r="O22" s="6"/>
    </row>
    <row r="23" spans="2:15" s="9" customFormat="1" ht="20.149999999999999" hidden="1" customHeight="1" x14ac:dyDescent="0.35">
      <c r="B23" s="6"/>
      <c r="C23" s="6"/>
      <c r="D23" s="6"/>
      <c r="E23" s="6"/>
      <c r="F23" s="6"/>
      <c r="G23" s="6"/>
      <c r="H23" s="6"/>
      <c r="I23" s="6"/>
      <c r="J23" s="6"/>
      <c r="K23" s="6"/>
      <c r="L23" s="6"/>
      <c r="M23" s="6"/>
      <c r="N23" s="6"/>
      <c r="O23" s="6"/>
    </row>
    <row r="24" spans="2:15" s="9" customFormat="1" ht="20.149999999999999" hidden="1" customHeight="1" x14ac:dyDescent="0.35">
      <c r="B24" s="6"/>
      <c r="C24" s="6"/>
      <c r="D24" s="6"/>
      <c r="E24" s="6"/>
      <c r="F24" s="6"/>
      <c r="G24" s="6"/>
      <c r="H24" s="6"/>
      <c r="I24" s="6"/>
      <c r="J24" s="6"/>
      <c r="K24" s="6"/>
      <c r="L24" s="6"/>
      <c r="M24" s="6"/>
      <c r="N24" s="6"/>
      <c r="O24" s="6"/>
    </row>
    <row r="25" spans="2:15" s="9" customFormat="1" ht="20.149999999999999" hidden="1" customHeight="1" x14ac:dyDescent="0.35">
      <c r="B25" s="6"/>
      <c r="C25" s="6"/>
      <c r="D25" s="6"/>
      <c r="E25" s="6"/>
      <c r="F25" s="6"/>
      <c r="G25" s="6"/>
      <c r="H25" s="6"/>
      <c r="I25" s="6"/>
      <c r="J25" s="6"/>
      <c r="K25" s="6"/>
      <c r="L25" s="6"/>
      <c r="M25" s="6"/>
      <c r="N25" s="6"/>
      <c r="O25" s="6"/>
    </row>
    <row r="26" spans="2:15" s="9" customFormat="1" ht="20.149999999999999" hidden="1" customHeight="1" x14ac:dyDescent="0.35">
      <c r="B26" s="6"/>
      <c r="C26" s="6"/>
      <c r="D26" s="6"/>
      <c r="E26" s="6"/>
      <c r="F26" s="6"/>
      <c r="G26" s="6"/>
      <c r="H26" s="6"/>
      <c r="I26" s="6"/>
      <c r="J26" s="6"/>
      <c r="K26" s="6"/>
      <c r="L26" s="6"/>
      <c r="M26" s="6"/>
      <c r="N26" s="6"/>
      <c r="O26" s="6"/>
    </row>
    <row r="27" spans="2:15" s="9" customFormat="1" ht="20.149999999999999" hidden="1" customHeight="1" x14ac:dyDescent="0.35"/>
    <row r="28" spans="2:15" s="9" customFormat="1" ht="20.149999999999999" hidden="1" customHeight="1" x14ac:dyDescent="0.35"/>
    <row r="29" spans="2:15" s="9" customFormat="1" ht="20.149999999999999" hidden="1" customHeight="1" x14ac:dyDescent="0.35"/>
    <row r="30" spans="2:15" hidden="1" x14ac:dyDescent="0.35"/>
    <row r="31" spans="2:15" hidden="1" x14ac:dyDescent="0.35"/>
    <row r="32" spans="2:15" hidden="1" x14ac:dyDescent="0.35"/>
    <row r="33" hidden="1" x14ac:dyDescent="0.35"/>
    <row r="34" hidden="1" x14ac:dyDescent="0.35"/>
    <row r="35" hidden="1" x14ac:dyDescent="0.35"/>
    <row r="36" hidden="1" x14ac:dyDescent="0.35"/>
    <row r="37" hidden="1" x14ac:dyDescent="0.35"/>
    <row r="38" hidden="1" x14ac:dyDescent="0.35"/>
    <row r="39" hidden="1" x14ac:dyDescent="0.35"/>
    <row r="40" hidden="1" x14ac:dyDescent="0.35"/>
    <row r="41" hidden="1" x14ac:dyDescent="0.35"/>
    <row r="42" hidden="1" x14ac:dyDescent="0.35"/>
    <row r="43" hidden="1" x14ac:dyDescent="0.35"/>
    <row r="44" hidden="1" x14ac:dyDescent="0.35"/>
    <row r="45" hidden="1" x14ac:dyDescent="0.35"/>
    <row r="46" hidden="1" x14ac:dyDescent="0.35"/>
    <row r="47" hidden="1" x14ac:dyDescent="0.35"/>
    <row r="48" hidden="1" x14ac:dyDescent="0.35"/>
    <row r="49" hidden="1" x14ac:dyDescent="0.35"/>
    <row r="50" hidden="1" x14ac:dyDescent="0.35"/>
    <row r="51" hidden="1" x14ac:dyDescent="0.35"/>
    <row r="52" hidden="1" x14ac:dyDescent="0.35"/>
    <row r="53" hidden="1" x14ac:dyDescent="0.35"/>
    <row r="54" hidden="1" x14ac:dyDescent="0.35"/>
    <row r="55" hidden="1" x14ac:dyDescent="0.35"/>
  </sheetData>
  <mergeCells count="3">
    <mergeCell ref="A2:A3"/>
    <mergeCell ref="B2:H3"/>
    <mergeCell ref="B5:N14"/>
  </mergeCells>
  <hyperlinks>
    <hyperlink ref="A2:A3" location="HOME" tooltip="HOME" display="BACK" xr:uid="{39778F89-BEE8-4B91-8EFE-E4AA9EB6A782}"/>
  </hyperlink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17</vt:i4>
      </vt:variant>
    </vt:vector>
  </HeadingPairs>
  <TitlesOfParts>
    <vt:vector size="33" baseType="lpstr">
      <vt:lpstr>Main Menu</vt:lpstr>
      <vt:lpstr>1 (1)</vt:lpstr>
      <vt:lpstr>1 (2)</vt:lpstr>
      <vt:lpstr>2</vt:lpstr>
      <vt:lpstr>3</vt:lpstr>
      <vt:lpstr>4</vt:lpstr>
      <vt:lpstr>5</vt:lpstr>
      <vt:lpstr>6</vt:lpstr>
      <vt:lpstr>7</vt:lpstr>
      <vt:lpstr>8</vt:lpstr>
      <vt:lpstr>9(Old)</vt:lpstr>
      <vt:lpstr>9</vt:lpstr>
      <vt:lpstr>10</vt:lpstr>
      <vt:lpstr>11</vt:lpstr>
      <vt:lpstr>12</vt:lpstr>
      <vt:lpstr>DISCLAIMER</vt:lpstr>
      <vt:lpstr>Child_Goal</vt:lpstr>
      <vt:lpstr>MF_TYPES</vt:lpstr>
      <vt:lpstr>'1 (1)'!Print_Area</vt:lpstr>
      <vt:lpstr>'1 (2)'!Print_Area</vt:lpstr>
      <vt:lpstr>'10'!Print_Area</vt:lpstr>
      <vt:lpstr>'11'!Print_Area</vt:lpstr>
      <vt:lpstr>'12'!Print_Area</vt:lpstr>
      <vt:lpstr>'2'!Print_Area</vt:lpstr>
      <vt:lpstr>'3'!Print_Area</vt:lpstr>
      <vt:lpstr>'4'!Print_Area</vt:lpstr>
      <vt:lpstr>'5'!Print_Area</vt:lpstr>
      <vt:lpstr>'6'!Print_Area</vt:lpstr>
      <vt:lpstr>'7'!Print_Area</vt:lpstr>
      <vt:lpstr>'8'!Print_Area</vt:lpstr>
      <vt:lpstr>'9'!Print_Area</vt:lpstr>
      <vt:lpstr>'9(Old)'!Print_Area</vt:lpstr>
      <vt:lpstr>TaxSlab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Sandip Mukherjee</dc:creator>
  <cp:keywords/>
  <dc:description/>
  <cp:lastModifiedBy>Rahul Prasad</cp:lastModifiedBy>
  <cp:revision/>
  <cp:lastPrinted>2024-08-06T07:21:22Z</cp:lastPrinted>
  <dcterms:created xsi:type="dcterms:W3CDTF">2024-03-21T06:44:33Z</dcterms:created>
  <dcterms:modified xsi:type="dcterms:W3CDTF">2025-08-28T09:45:18Z</dcterms:modified>
  <cp:category/>
  <cp:contentStatus/>
</cp:coreProperties>
</file>