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IFERROR(__xludf.DUMMYFUNCTION("IMPORTHTML(""https://en.wikipedia.org/wiki/Small_Arms_Survey"", ""table"",2)"),"*Worldwide firearms holdings, 2017*[14][15][16][17]")</f>
        <v>*Worldwide firearms holdings, 2017*[14][15][16][17]</v>
      </c>
      <c r="B1" s="1"/>
      <c r="C1" s="1"/>
      <c r="D1" s="1"/>
      <c r="E1" s="1"/>
      <c r="F1" s="1"/>
    </row>
    <row r="2">
      <c r="A2" s="1" t="str">
        <f>IFERROR(__xludf.DUMMYFUNCTION("""COMPUTED_VALUE"""),"Countries and territories")</f>
        <v>Countries and territories</v>
      </c>
      <c r="B2" s="1" t="str">
        <f>IFERROR(__xludf.DUMMYFUNCTION("""COMPUTED_VALUE"""),"*Estimate of civilian held firearms*")</f>
        <v>*Estimate of civilian held firearms*</v>
      </c>
      <c r="C2" s="1" t="str">
        <f>IFERROR(__xludf.DUMMYFUNCTION("""COMPUTED_VALUE"""),"*Population 2017*")</f>
        <v>*Population 2017*</v>
      </c>
      <c r="D2" s="1" t="str">
        <f>IFERROR(__xludf.DUMMYFUNCTION("""COMPUTED_VALUE"""),"*Estimate of civilian held firearms per 100 persons*")</f>
        <v>*Estimate of civilian held firearms per 100 persons*</v>
      </c>
      <c r="E2" s="1" t="str">
        <f>IFERROR(__xludf.DUMMYFUNCTION("""COMPUTED_VALUE"""),"*Estimate of military held firearms*")</f>
        <v>*Estimate of military held firearms*</v>
      </c>
      <c r="F2" s="1" t="str">
        <f>IFERROR(__xludf.DUMMYFUNCTION("""COMPUTED_VALUE"""),"*Estimate of law enforcement held firearms*")</f>
        <v>*Estimate of law enforcement held firearms*</v>
      </c>
    </row>
    <row r="3">
      <c r="A3" s="1" t="str">
        <f>IFERROR(__xludf.DUMMYFUNCTION("""COMPUTED_VALUE"""),"*Total firearms = approximately 1,013,000,000*")</f>
        <v>*Total firearms = approximately 1,013,000,000*</v>
      </c>
      <c r="B3" s="1" t="str">
        <f>IFERROR(__xludf.DUMMYFUNCTION("""COMPUTED_VALUE"""),"*857,000,000*")</f>
        <v>*857,000,000*</v>
      </c>
      <c r="C3" s="1" t="str">
        <f>IFERROR(__xludf.DUMMYFUNCTION("""COMPUTED_VALUE"""),"-")</f>
        <v>-</v>
      </c>
      <c r="D3" s="1" t="str">
        <f>IFERROR(__xludf.DUMMYFUNCTION("""COMPUTED_VALUE"""),"-")</f>
        <v>-</v>
      </c>
      <c r="E3" s="1" t="str">
        <f>IFERROR(__xludf.DUMMYFUNCTION("""COMPUTED_VALUE"""),"*133,000,000*")</f>
        <v>*133,000,000*</v>
      </c>
      <c r="F3" s="1" t="str">
        <f>IFERROR(__xludf.DUMMYFUNCTION("""COMPUTED_VALUE"""),"*23,000,000*")</f>
        <v>*23,000,000*</v>
      </c>
    </row>
    <row r="4">
      <c r="A4" s="1" t="str">
        <f>IFERROR(__xludf.DUMMYFUNCTION("""COMPUTED_VALUE"""),"Afghanistan")</f>
        <v>Afghanistan</v>
      </c>
      <c r="B4" s="2">
        <f>IFERROR(__xludf.DUMMYFUNCTION("""COMPUTED_VALUE"""),4270000.0)</f>
        <v>4270000</v>
      </c>
      <c r="C4" s="2">
        <f>IFERROR(__xludf.DUMMYFUNCTION("""COMPUTED_VALUE"""),3.4169E7)</f>
        <v>34169000</v>
      </c>
      <c r="D4" s="1">
        <f>IFERROR(__xludf.DUMMYFUNCTION("""COMPUTED_VALUE"""),12.5)</f>
        <v>12.5</v>
      </c>
      <c r="E4" s="2">
        <f>IFERROR(__xludf.DUMMYFUNCTION("""COMPUTED_VALUE"""),331170.0)</f>
        <v>331170</v>
      </c>
      <c r="F4" s="2">
        <f>IFERROR(__xludf.DUMMYFUNCTION("""COMPUTED_VALUE"""),239000.0)</f>
        <v>239000</v>
      </c>
    </row>
    <row r="5">
      <c r="A5" s="1" t="str">
        <f>IFERROR(__xludf.DUMMYFUNCTION("""COMPUTED_VALUE"""),"Albania")</f>
        <v>Albania</v>
      </c>
      <c r="B5" s="2">
        <f>IFERROR(__xludf.DUMMYFUNCTION("""COMPUTED_VALUE"""),350000.0)</f>
        <v>350000</v>
      </c>
      <c r="C5" s="2">
        <f>IFERROR(__xludf.DUMMYFUNCTION("""COMPUTED_VALUE"""),2911000.0)</f>
        <v>2911000</v>
      </c>
      <c r="D5" s="1">
        <f>IFERROR(__xludf.DUMMYFUNCTION("""COMPUTED_VALUE"""),12.0)</f>
        <v>12</v>
      </c>
      <c r="E5" s="2">
        <f>IFERROR(__xludf.DUMMYFUNCTION("""COMPUTED_VALUE"""),21750.0)</f>
        <v>21750</v>
      </c>
      <c r="F5" s="2">
        <f>IFERROR(__xludf.DUMMYFUNCTION("""COMPUTED_VALUE"""),19000.0)</f>
        <v>19000</v>
      </c>
    </row>
    <row r="6">
      <c r="A6" s="1" t="str">
        <f>IFERROR(__xludf.DUMMYFUNCTION("""COMPUTED_VALUE"""),"Algeria")</f>
        <v>Algeria</v>
      </c>
      <c r="B6" s="2">
        <f>IFERROR(__xludf.DUMMYFUNCTION("""COMPUTED_VALUE"""),877000.0)</f>
        <v>877000</v>
      </c>
      <c r="C6" s="2">
        <f>IFERROR(__xludf.DUMMYFUNCTION("""COMPUTED_VALUE"""),4.1064E7)</f>
        <v>41064000</v>
      </c>
      <c r="D6" s="1">
        <f>IFERROR(__xludf.DUMMYFUNCTION("""COMPUTED_VALUE"""),2.1)</f>
        <v>2.1</v>
      </c>
      <c r="E6" s="2">
        <f>IFERROR(__xludf.DUMMYFUNCTION("""COMPUTED_VALUE"""),637720.0)</f>
        <v>637720</v>
      </c>
      <c r="F6" s="2">
        <f>IFERROR(__xludf.DUMMYFUNCTION("""COMPUTED_VALUE"""),363000.0)</f>
        <v>363000</v>
      </c>
    </row>
    <row r="7">
      <c r="A7" s="1" t="str">
        <f>IFERROR(__xludf.DUMMYFUNCTION("""COMPUTED_VALUE"""),"American Samoa")</f>
        <v>American Samoa</v>
      </c>
      <c r="B7" s="1">
        <f>IFERROR(__xludf.DUMMYFUNCTION("""COMPUTED_VALUE"""),400.0)</f>
        <v>400</v>
      </c>
      <c r="C7" s="2">
        <f>IFERROR(__xludf.DUMMYFUNCTION("""COMPUTED_VALUE"""),56000.0)</f>
        <v>56000</v>
      </c>
      <c r="D7" s="1">
        <f>IFERROR(__xludf.DUMMYFUNCTION("""COMPUTED_VALUE"""),0.7)</f>
        <v>0.7</v>
      </c>
      <c r="E7" s="1" t="str">
        <f>IFERROR(__xludf.DUMMYFUNCTION("""COMPUTED_VALUE"""),"-")</f>
        <v>-</v>
      </c>
      <c r="F7" s="1">
        <f>IFERROR(__xludf.DUMMYFUNCTION("""COMPUTED_VALUE"""),90.0)</f>
        <v>90</v>
      </c>
    </row>
    <row r="8">
      <c r="A8" s="1" t="str">
        <f>IFERROR(__xludf.DUMMYFUNCTION("""COMPUTED_VALUE"""),"Andorra")</f>
        <v>Andorra</v>
      </c>
      <c r="B8" s="2">
        <f>IFERROR(__xludf.DUMMYFUNCTION("""COMPUTED_VALUE"""),10000.0)</f>
        <v>10000</v>
      </c>
      <c r="C8" s="2">
        <f>IFERROR(__xludf.DUMMYFUNCTION("""COMPUTED_VALUE"""),69000.0)</f>
        <v>69000</v>
      </c>
      <c r="D8" s="1">
        <f>IFERROR(__xludf.DUMMYFUNCTION("""COMPUTED_VALUE"""),14.1)</f>
        <v>14.1</v>
      </c>
      <c r="E8" s="1" t="str">
        <f>IFERROR(__xludf.DUMMYFUNCTION("""COMPUTED_VALUE"""),"-")</f>
        <v>-</v>
      </c>
      <c r="F8" s="1">
        <f>IFERROR(__xludf.DUMMYFUNCTION("""COMPUTED_VALUE"""),976.0)</f>
        <v>976</v>
      </c>
    </row>
    <row r="9">
      <c r="A9" s="1" t="str">
        <f>IFERROR(__xludf.DUMMYFUNCTION("""COMPUTED_VALUE"""),"Angola")</f>
        <v>Angola</v>
      </c>
      <c r="B9" s="2">
        <f>IFERROR(__xludf.DUMMYFUNCTION("""COMPUTED_VALUE"""),2982000.0)</f>
        <v>2982000</v>
      </c>
      <c r="C9" s="2">
        <f>IFERROR(__xludf.DUMMYFUNCTION("""COMPUTED_VALUE"""),2.6656E7)</f>
        <v>26656000</v>
      </c>
      <c r="D9" s="1">
        <f>IFERROR(__xludf.DUMMYFUNCTION("""COMPUTED_VALUE"""),11.2)</f>
        <v>11.2</v>
      </c>
      <c r="E9" s="2">
        <f>IFERROR(__xludf.DUMMYFUNCTION("""COMPUTED_VALUE"""),203300.0)</f>
        <v>203300</v>
      </c>
      <c r="F9" s="2">
        <f>IFERROR(__xludf.DUMMYFUNCTION("""COMPUTED_VALUE"""),60000.0)</f>
        <v>60000</v>
      </c>
    </row>
    <row r="10">
      <c r="A10" s="1" t="str">
        <f>IFERROR(__xludf.DUMMYFUNCTION("""COMPUTED_VALUE"""),"Antigua and Barbuda")</f>
        <v>Antigua and Barbuda</v>
      </c>
      <c r="B10" s="2">
        <f>IFERROR(__xludf.DUMMYFUNCTION("""COMPUTED_VALUE"""),5000.0)</f>
        <v>5000</v>
      </c>
      <c r="C10" s="2">
        <f>IFERROR(__xludf.DUMMYFUNCTION("""COMPUTED_VALUE"""),94000.0)</f>
        <v>94000</v>
      </c>
      <c r="D10" s="1">
        <f>IFERROR(__xludf.DUMMYFUNCTION("""COMPUTED_VALUE"""),5.4)</f>
        <v>5.4</v>
      </c>
      <c r="E10" s="1">
        <f>IFERROR(__xludf.DUMMYFUNCTION("""COMPUTED_VALUE"""),438.0)</f>
        <v>438</v>
      </c>
      <c r="F10" s="1">
        <f>IFERROR(__xludf.DUMMYFUNCTION("""COMPUTED_VALUE"""),800.0)</f>
        <v>800</v>
      </c>
    </row>
    <row r="11">
      <c r="A11" s="1" t="str">
        <f>IFERROR(__xludf.DUMMYFUNCTION("""COMPUTED_VALUE"""),"Argentina")</f>
        <v>Argentina</v>
      </c>
      <c r="B11" s="2">
        <f>IFERROR(__xludf.DUMMYFUNCTION("""COMPUTED_VALUE"""),3256000.0)</f>
        <v>3256000</v>
      </c>
      <c r="C11" s="2">
        <f>IFERROR(__xludf.DUMMYFUNCTION("""COMPUTED_VALUE"""),4.4272E7)</f>
        <v>44272000</v>
      </c>
      <c r="D11" s="1">
        <f>IFERROR(__xludf.DUMMYFUNCTION("""COMPUTED_VALUE"""),7.4)</f>
        <v>7.4</v>
      </c>
      <c r="E11" s="2">
        <f>IFERROR(__xludf.DUMMYFUNCTION("""COMPUTED_VALUE"""),679770.0)</f>
        <v>679770</v>
      </c>
      <c r="F11" s="2">
        <f>IFERROR(__xludf.DUMMYFUNCTION("""COMPUTED_VALUE"""),391000.0)</f>
        <v>391000</v>
      </c>
    </row>
    <row r="12">
      <c r="A12" s="1" t="str">
        <f>IFERROR(__xludf.DUMMYFUNCTION("""COMPUTED_VALUE"""),"Armenia")</f>
        <v>Armenia</v>
      </c>
      <c r="B12" s="2">
        <f>IFERROR(__xludf.DUMMYFUNCTION("""COMPUTED_VALUE"""),186000.0)</f>
        <v>186000</v>
      </c>
      <c r="C12" s="2">
        <f>IFERROR(__xludf.DUMMYFUNCTION("""COMPUTED_VALUE"""),3032000.0)</f>
        <v>3032000</v>
      </c>
      <c r="D12" s="1">
        <f>IFERROR(__xludf.DUMMYFUNCTION("""COMPUTED_VALUE"""),6.1)</f>
        <v>6.1</v>
      </c>
      <c r="E12" s="2">
        <f>IFERROR(__xludf.DUMMYFUNCTION("""COMPUTED_VALUE"""),509240.0)</f>
        <v>509240</v>
      </c>
      <c r="F12" s="2">
        <f>IFERROR(__xludf.DUMMYFUNCTION("""COMPUTED_VALUE"""),18000.0)</f>
        <v>18000</v>
      </c>
    </row>
    <row r="13">
      <c r="A13" s="1" t="str">
        <f>IFERROR(__xludf.DUMMYFUNCTION("""COMPUTED_VALUE"""),"Aruba")</f>
        <v>Aruba</v>
      </c>
      <c r="B13" s="2">
        <f>IFERROR(__xludf.DUMMYFUNCTION("""COMPUTED_VALUE"""),3000.0)</f>
        <v>3000</v>
      </c>
      <c r="C13" s="2">
        <f>IFERROR(__xludf.DUMMYFUNCTION("""COMPUTED_VALUE"""),105000.0)</f>
        <v>105000</v>
      </c>
      <c r="D13" s="1">
        <f>IFERROR(__xludf.DUMMYFUNCTION("""COMPUTED_VALUE"""),2.6)</f>
        <v>2.6</v>
      </c>
      <c r="E13" s="1" t="str">
        <f>IFERROR(__xludf.DUMMYFUNCTION("""COMPUTED_VALUE"""),"-")</f>
        <v>-</v>
      </c>
      <c r="F13" s="1">
        <f>IFERROR(__xludf.DUMMYFUNCTION("""COMPUTED_VALUE"""),700.0)</f>
        <v>700</v>
      </c>
    </row>
    <row r="14">
      <c r="A14" s="1" t="str">
        <f>IFERROR(__xludf.DUMMYFUNCTION("""COMPUTED_VALUE"""),"Australia")</f>
        <v>Australia</v>
      </c>
      <c r="B14" s="2">
        <f>IFERROR(__xludf.DUMMYFUNCTION("""COMPUTED_VALUE"""),3573000.0)</f>
        <v>3573000</v>
      </c>
      <c r="C14" s="2">
        <f>IFERROR(__xludf.DUMMYFUNCTION("""COMPUTED_VALUE"""),2.4642E7)</f>
        <v>24642000</v>
      </c>
      <c r="D14" s="1">
        <f>IFERROR(__xludf.DUMMYFUNCTION("""COMPUTED_VALUE"""),14.5)</f>
        <v>14.5</v>
      </c>
      <c r="E14" s="2">
        <f>IFERROR(__xludf.DUMMYFUNCTION("""COMPUTED_VALUE"""),214520.0)</f>
        <v>214520</v>
      </c>
      <c r="F14" s="2">
        <f>IFERROR(__xludf.DUMMYFUNCTION("""COMPUTED_VALUE"""),69000.0)</f>
        <v>69000</v>
      </c>
    </row>
    <row r="15">
      <c r="A15" s="1" t="str">
        <f>IFERROR(__xludf.DUMMYFUNCTION("""COMPUTED_VALUE"""),"Austria")</f>
        <v>Austria</v>
      </c>
      <c r="B15" s="2">
        <f>IFERROR(__xludf.DUMMYFUNCTION("""COMPUTED_VALUE"""),2577000.0)</f>
        <v>2577000</v>
      </c>
      <c r="C15" s="2">
        <f>IFERROR(__xludf.DUMMYFUNCTION("""COMPUTED_VALUE"""),8592000.0)</f>
        <v>8592000</v>
      </c>
      <c r="D15" s="1">
        <f>IFERROR(__xludf.DUMMYFUNCTION("""COMPUTED_VALUE"""),30.0)</f>
        <v>30</v>
      </c>
      <c r="E15" s="2">
        <f>IFERROR(__xludf.DUMMYFUNCTION("""COMPUTED_VALUE"""),240880.0)</f>
        <v>240880</v>
      </c>
      <c r="F15" s="2">
        <f>IFERROR(__xludf.DUMMYFUNCTION("""COMPUTED_VALUE"""),37900.0)</f>
        <v>37900</v>
      </c>
    </row>
    <row r="16">
      <c r="A16" s="1" t="str">
        <f>IFERROR(__xludf.DUMMYFUNCTION("""COMPUTED_VALUE"""),"Azerbaijan")</f>
        <v>Azerbaijan</v>
      </c>
      <c r="B16" s="2">
        <f>IFERROR(__xludf.DUMMYFUNCTION("""COMPUTED_VALUE"""),362000.0)</f>
        <v>362000</v>
      </c>
      <c r="C16" s="2">
        <f>IFERROR(__xludf.DUMMYFUNCTION("""COMPUTED_VALUE"""),9974000.0)</f>
        <v>9974000</v>
      </c>
      <c r="D16" s="1">
        <f>IFERROR(__xludf.DUMMYFUNCTION("""COMPUTED_VALUE"""),3.6)</f>
        <v>3.6</v>
      </c>
      <c r="E16" s="2">
        <f>IFERROR(__xludf.DUMMYFUNCTION("""COMPUTED_VALUE"""),537920.0)</f>
        <v>537920</v>
      </c>
      <c r="F16" s="2">
        <f>IFERROR(__xludf.DUMMYFUNCTION("""COMPUTED_VALUE"""),18000.0)</f>
        <v>18000</v>
      </c>
    </row>
    <row r="17">
      <c r="A17" s="1" t="str">
        <f>IFERROR(__xludf.DUMMYFUNCTION("""COMPUTED_VALUE"""),"Bahamas")</f>
        <v>Bahamas</v>
      </c>
      <c r="B17" s="2">
        <f>IFERROR(__xludf.DUMMYFUNCTION("""COMPUTED_VALUE"""),74000.0)</f>
        <v>74000</v>
      </c>
      <c r="C17" s="2">
        <f>IFERROR(__xludf.DUMMYFUNCTION("""COMPUTED_VALUE"""),397000.0)</f>
        <v>397000</v>
      </c>
      <c r="D17" s="1">
        <f>IFERROR(__xludf.DUMMYFUNCTION("""COMPUTED_VALUE"""),18.8)</f>
        <v>18.8</v>
      </c>
      <c r="E17" s="2">
        <f>IFERROR(__xludf.DUMMYFUNCTION("""COMPUTED_VALUE"""),2470.0)</f>
        <v>2470</v>
      </c>
      <c r="F17" s="2">
        <f>IFERROR(__xludf.DUMMYFUNCTION("""COMPUTED_VALUE"""),5000.0)</f>
        <v>5000</v>
      </c>
    </row>
    <row r="18">
      <c r="A18" s="1" t="str">
        <f>IFERROR(__xludf.DUMMYFUNCTION("""COMPUTED_VALUE"""),"Bahrain")</f>
        <v>Bahrain</v>
      </c>
      <c r="B18" s="2">
        <f>IFERROR(__xludf.DUMMYFUNCTION("""COMPUTED_VALUE"""),181000.0)</f>
        <v>181000</v>
      </c>
      <c r="C18" s="2">
        <f>IFERROR(__xludf.DUMMYFUNCTION("""COMPUTED_VALUE"""),1419000.0)</f>
        <v>1419000</v>
      </c>
      <c r="D18" s="1">
        <f>IFERROR(__xludf.DUMMYFUNCTION("""COMPUTED_VALUE"""),12.8)</f>
        <v>12.8</v>
      </c>
      <c r="E18" s="2">
        <f>IFERROR(__xludf.DUMMYFUNCTION("""COMPUTED_VALUE"""),25796.0)</f>
        <v>25796</v>
      </c>
      <c r="F18" s="2">
        <f>IFERROR(__xludf.DUMMYFUNCTION("""COMPUTED_VALUE"""),20000.0)</f>
        <v>20000</v>
      </c>
    </row>
    <row r="19">
      <c r="A19" s="1" t="str">
        <f>IFERROR(__xludf.DUMMYFUNCTION("""COMPUTED_VALUE"""),"Bangladesh")</f>
        <v>Bangladesh</v>
      </c>
      <c r="B19" s="2">
        <f>IFERROR(__xludf.DUMMYFUNCTION("""COMPUTED_VALUE"""),659000.0)</f>
        <v>659000</v>
      </c>
      <c r="C19" s="2">
        <f>IFERROR(__xludf.DUMMYFUNCTION("""COMPUTED_VALUE"""),1.64828E8)</f>
        <v>164828000</v>
      </c>
      <c r="D19" s="1">
        <f>IFERROR(__xludf.DUMMYFUNCTION("""COMPUTED_VALUE"""),0.4)</f>
        <v>0.4</v>
      </c>
      <c r="E19" s="2">
        <f>IFERROR(__xludf.DUMMYFUNCTION("""COMPUTED_VALUE"""),410305.0)</f>
        <v>410305</v>
      </c>
      <c r="F19" s="2">
        <f>IFERROR(__xludf.DUMMYFUNCTION("""COMPUTED_VALUE"""),333000.0)</f>
        <v>333000</v>
      </c>
    </row>
    <row r="20">
      <c r="A20" s="1" t="str">
        <f>IFERROR(__xludf.DUMMYFUNCTION("""COMPUTED_VALUE"""),"Barbados")</f>
        <v>Barbados</v>
      </c>
      <c r="B20" s="2">
        <f>IFERROR(__xludf.DUMMYFUNCTION("""COMPUTED_VALUE"""),10000.0)</f>
        <v>10000</v>
      </c>
      <c r="C20" s="2">
        <f>IFERROR(__xludf.DUMMYFUNCTION("""COMPUTED_VALUE"""),286000.0)</f>
        <v>286000</v>
      </c>
      <c r="D20" s="1">
        <f>IFERROR(__xludf.DUMMYFUNCTION("""COMPUTED_VALUE"""),3.5)</f>
        <v>3.5</v>
      </c>
      <c r="E20" s="2">
        <f>IFERROR(__xludf.DUMMYFUNCTION("""COMPUTED_VALUE"""),1675.0)</f>
        <v>1675</v>
      </c>
      <c r="F20" s="2">
        <f>IFERROR(__xludf.DUMMYFUNCTION("""COMPUTED_VALUE"""),2000.0)</f>
        <v>2000</v>
      </c>
    </row>
    <row r="21">
      <c r="A21" s="1" t="str">
        <f>IFERROR(__xludf.DUMMYFUNCTION("""COMPUTED_VALUE"""),"Belarus")</f>
        <v>Belarus</v>
      </c>
      <c r="B21" s="2">
        <f>IFERROR(__xludf.DUMMYFUNCTION("""COMPUTED_VALUE"""),581000.0)</f>
        <v>581000</v>
      </c>
      <c r="C21" s="2">
        <f>IFERROR(__xludf.DUMMYFUNCTION("""COMPUTED_VALUE"""),9459000.0)</f>
        <v>9459000</v>
      </c>
      <c r="D21" s="1">
        <f>IFERROR(__xludf.DUMMYFUNCTION("""COMPUTED_VALUE"""),6.1)</f>
        <v>6.1</v>
      </c>
      <c r="E21" s="2">
        <f>IFERROR(__xludf.DUMMYFUNCTION("""COMPUTED_VALUE"""),780600.0)</f>
        <v>780600</v>
      </c>
      <c r="F21" s="2">
        <f>IFERROR(__xludf.DUMMYFUNCTION("""COMPUTED_VALUE"""),165000.0)</f>
        <v>165000</v>
      </c>
    </row>
    <row r="22">
      <c r="A22" s="1" t="str">
        <f>IFERROR(__xludf.DUMMYFUNCTION("""COMPUTED_VALUE"""),"Belgium")</f>
        <v>Belgium</v>
      </c>
      <c r="B22" s="2">
        <f>IFERROR(__xludf.DUMMYFUNCTION("""COMPUTED_VALUE"""),1451000.0)</f>
        <v>1451000</v>
      </c>
      <c r="C22" s="2">
        <f>IFERROR(__xludf.DUMMYFUNCTION("""COMPUTED_VALUE"""),1.1444E7)</f>
        <v>11444000</v>
      </c>
      <c r="D22" s="1">
        <f>IFERROR(__xludf.DUMMYFUNCTION("""COMPUTED_VALUE"""),12.7)</f>
        <v>12.7</v>
      </c>
      <c r="E22" s="2">
        <f>IFERROR(__xludf.DUMMYFUNCTION("""COMPUTED_VALUE"""),80880.0)</f>
        <v>80880</v>
      </c>
      <c r="F22" s="2">
        <f>IFERROR(__xludf.DUMMYFUNCTION("""COMPUTED_VALUE"""),78000.0)</f>
        <v>78000</v>
      </c>
    </row>
    <row r="23">
      <c r="A23" s="1" t="str">
        <f>IFERROR(__xludf.DUMMYFUNCTION("""COMPUTED_VALUE"""),"Belize")</f>
        <v>Belize</v>
      </c>
      <c r="B23" s="2">
        <f>IFERROR(__xludf.DUMMYFUNCTION("""COMPUTED_VALUE"""),37000.0)</f>
        <v>37000</v>
      </c>
      <c r="C23" s="2">
        <f>IFERROR(__xludf.DUMMYFUNCTION("""COMPUTED_VALUE"""),375000.0)</f>
        <v>375000</v>
      </c>
      <c r="D23" s="1">
        <f>IFERROR(__xludf.DUMMYFUNCTION("""COMPUTED_VALUE"""),10.0)</f>
        <v>10</v>
      </c>
      <c r="E23" s="2">
        <f>IFERROR(__xludf.DUMMYFUNCTION("""COMPUTED_VALUE"""),3690.0)</f>
        <v>3690</v>
      </c>
      <c r="F23" s="2">
        <f>IFERROR(__xludf.DUMMYFUNCTION("""COMPUTED_VALUE"""),2000.0)</f>
        <v>2000</v>
      </c>
    </row>
    <row r="24">
      <c r="A24" s="1" t="str">
        <f>IFERROR(__xludf.DUMMYFUNCTION("""COMPUTED_VALUE"""),"Benin")</f>
        <v>Benin</v>
      </c>
      <c r="B24" s="2">
        <f>IFERROR(__xludf.DUMMYFUNCTION("""COMPUTED_VALUE"""),33000.0)</f>
        <v>33000</v>
      </c>
      <c r="C24" s="2">
        <f>IFERROR(__xludf.DUMMYFUNCTION("""COMPUTED_VALUE"""),1.1459E7)</f>
        <v>11459000</v>
      </c>
      <c r="D24" s="1">
        <f>IFERROR(__xludf.DUMMYFUNCTION("""COMPUTED_VALUE"""),0.3)</f>
        <v>0.3</v>
      </c>
      <c r="E24" s="2">
        <f>IFERROR(__xludf.DUMMYFUNCTION("""COMPUTED_VALUE"""),8700.0)</f>
        <v>8700</v>
      </c>
      <c r="F24" s="2">
        <f>IFERROR(__xludf.DUMMYFUNCTION("""COMPUTED_VALUE"""),26000.0)</f>
        <v>26000</v>
      </c>
    </row>
    <row r="25">
      <c r="A25" s="1" t="str">
        <f>IFERROR(__xludf.DUMMYFUNCTION("""COMPUTED_VALUE"""),"Bermuda")</f>
        <v>Bermuda</v>
      </c>
      <c r="B25" s="2">
        <f>IFERROR(__xludf.DUMMYFUNCTION("""COMPUTED_VALUE"""),3000.0)</f>
        <v>3000</v>
      </c>
      <c r="C25" s="2">
        <f>IFERROR(__xludf.DUMMYFUNCTION("""COMPUTED_VALUE"""),61000.0)</f>
        <v>61000</v>
      </c>
      <c r="D25" s="1">
        <f>IFERROR(__xludf.DUMMYFUNCTION("""COMPUTED_VALUE"""),4.6)</f>
        <v>4.6</v>
      </c>
      <c r="E25" s="1" t="str">
        <f>IFERROR(__xludf.DUMMYFUNCTION("""COMPUTED_VALUE"""),"-")</f>
        <v>-</v>
      </c>
      <c r="F25" s="1">
        <f>IFERROR(__xludf.DUMMYFUNCTION("""COMPUTED_VALUE"""),500.0)</f>
        <v>500</v>
      </c>
    </row>
    <row r="26">
      <c r="A26" s="1" t="str">
        <f>IFERROR(__xludf.DUMMYFUNCTION("""COMPUTED_VALUE"""),"Bhutan")</f>
        <v>Bhutan</v>
      </c>
      <c r="B26" s="2">
        <f>IFERROR(__xludf.DUMMYFUNCTION("""COMPUTED_VALUE"""),6000.0)</f>
        <v>6000</v>
      </c>
      <c r="C26" s="2">
        <f>IFERROR(__xludf.DUMMYFUNCTION("""COMPUTED_VALUE"""),793000.0)</f>
        <v>793000</v>
      </c>
      <c r="D26" s="1">
        <f>IFERROR(__xludf.DUMMYFUNCTION("""COMPUTED_VALUE"""),0.8)</f>
        <v>0.8</v>
      </c>
      <c r="E26" s="2">
        <f>IFERROR(__xludf.DUMMYFUNCTION("""COMPUTED_VALUE"""),15200.0)</f>
        <v>15200</v>
      </c>
      <c r="F26" s="2">
        <f>IFERROR(__xludf.DUMMYFUNCTION("""COMPUTED_VALUE"""),4000.0)</f>
        <v>4000</v>
      </c>
    </row>
    <row r="27">
      <c r="A27" s="1" t="str">
        <f>IFERROR(__xludf.DUMMYFUNCTION("""COMPUTED_VALUE"""),"Bolivia")</f>
        <v>Bolivia</v>
      </c>
      <c r="B27" s="2">
        <f>IFERROR(__xludf.DUMMYFUNCTION("""COMPUTED_VALUE"""),218000.0)</f>
        <v>218000</v>
      </c>
      <c r="C27" s="2">
        <f>IFERROR(__xludf.DUMMYFUNCTION("""COMPUTED_VALUE"""),1.1053E7)</f>
        <v>11053000</v>
      </c>
      <c r="D27" s="1">
        <f>IFERROR(__xludf.DUMMYFUNCTION("""COMPUTED_VALUE"""),2.0)</f>
        <v>2</v>
      </c>
      <c r="E27" s="2">
        <f>IFERROR(__xludf.DUMMYFUNCTION("""COMPUTED_VALUE"""),87590.0)</f>
        <v>87590</v>
      </c>
      <c r="F27" s="2">
        <f>IFERROR(__xludf.DUMMYFUNCTION("""COMPUTED_VALUE"""),42000.0)</f>
        <v>42000</v>
      </c>
    </row>
    <row r="28">
      <c r="A28" s="1" t="str">
        <f>IFERROR(__xludf.DUMMYFUNCTION("""COMPUTED_VALUE"""),"Bosnia and Herzegovina")</f>
        <v>Bosnia and Herzegovina</v>
      </c>
      <c r="B28" s="2">
        <f>IFERROR(__xludf.DUMMYFUNCTION("""COMPUTED_VALUE"""),1185000.0)</f>
        <v>1185000</v>
      </c>
      <c r="C28" s="2">
        <f>IFERROR(__xludf.DUMMYFUNCTION("""COMPUTED_VALUE"""),3793000.0)</f>
        <v>3793000</v>
      </c>
      <c r="D28" s="1">
        <f>IFERROR(__xludf.DUMMYFUNCTION("""COMPUTED_VALUE"""),31.2)</f>
        <v>31.2</v>
      </c>
      <c r="E28" s="2">
        <f>IFERROR(__xludf.DUMMYFUNCTION("""COMPUTED_VALUE"""),27300.0)</f>
        <v>27300</v>
      </c>
      <c r="F28" s="2">
        <f>IFERROR(__xludf.DUMMYFUNCTION("""COMPUTED_VALUE"""),29000.0)</f>
        <v>29000</v>
      </c>
    </row>
    <row r="29">
      <c r="A29" s="1" t="str">
        <f>IFERROR(__xludf.DUMMYFUNCTION("""COMPUTED_VALUE"""),"Botswana")</f>
        <v>Botswana</v>
      </c>
      <c r="B29" s="2">
        <f>IFERROR(__xludf.DUMMYFUNCTION("""COMPUTED_VALUE"""),97000.0)</f>
        <v>97000</v>
      </c>
      <c r="C29" s="2">
        <f>IFERROR(__xludf.DUMMYFUNCTION("""COMPUTED_VALUE"""),2344000.0)</f>
        <v>2344000</v>
      </c>
      <c r="D29" s="1">
        <f>IFERROR(__xludf.DUMMYFUNCTION("""COMPUTED_VALUE"""),4.1)</f>
        <v>4.1</v>
      </c>
      <c r="E29" s="2">
        <f>IFERROR(__xludf.DUMMYFUNCTION("""COMPUTED_VALUE"""),17100.0)</f>
        <v>17100</v>
      </c>
      <c r="F29" s="2">
        <f>IFERROR(__xludf.DUMMYFUNCTION("""COMPUTED_VALUE"""),11000.0)</f>
        <v>11000</v>
      </c>
    </row>
    <row r="30">
      <c r="A30" s="1" t="str">
        <f>IFERROR(__xludf.DUMMYFUNCTION("""COMPUTED_VALUE"""),"Brazil")</f>
        <v>Brazil</v>
      </c>
      <c r="B30" s="2">
        <f>IFERROR(__xludf.DUMMYFUNCTION("""COMPUTED_VALUE"""),1.751E7)</f>
        <v>17510000</v>
      </c>
      <c r="C30" s="2">
        <f>IFERROR(__xludf.DUMMYFUNCTION("""COMPUTED_VALUE"""),2.11243E8)</f>
        <v>211243000</v>
      </c>
      <c r="D30" s="1">
        <f>IFERROR(__xludf.DUMMYFUNCTION("""COMPUTED_VALUE"""),8.3)</f>
        <v>8.3</v>
      </c>
      <c r="E30" s="2">
        <f>IFERROR(__xludf.DUMMYFUNCTION("""COMPUTED_VALUE"""),1316300.0)</f>
        <v>1316300</v>
      </c>
      <c r="F30" s="2">
        <f>IFERROR(__xludf.DUMMYFUNCTION("""COMPUTED_VALUE"""),803000.0)</f>
        <v>803000</v>
      </c>
    </row>
    <row r="31">
      <c r="A31" s="1" t="str">
        <f>IFERROR(__xludf.DUMMYFUNCTION("""COMPUTED_VALUE"""),"Brunei Darussalam")</f>
        <v>Brunei Darussalam</v>
      </c>
      <c r="B31" s="2">
        <f>IFERROR(__xludf.DUMMYFUNCTION("""COMPUTED_VALUE"""),6000.0)</f>
        <v>6000</v>
      </c>
      <c r="C31" s="2">
        <f>IFERROR(__xludf.DUMMYFUNCTION("""COMPUTED_VALUE"""),434000.0)</f>
        <v>434000</v>
      </c>
      <c r="D31" s="1">
        <f>IFERROR(__xludf.DUMMYFUNCTION("""COMPUTED_VALUE"""),1.4)</f>
        <v>1.4</v>
      </c>
      <c r="E31" s="2">
        <f>IFERROR(__xludf.DUMMYFUNCTION("""COMPUTED_VALUE"""),20220.0)</f>
        <v>20220</v>
      </c>
      <c r="F31" s="2">
        <f>IFERROR(__xludf.DUMMYFUNCTION("""COMPUTED_VALUE"""),4000.0)</f>
        <v>4000</v>
      </c>
    </row>
    <row r="32">
      <c r="A32" s="1" t="str">
        <f>IFERROR(__xludf.DUMMYFUNCTION("""COMPUTED_VALUE"""),"Bulgaria")</f>
        <v>Bulgaria</v>
      </c>
      <c r="B32" s="2">
        <f>IFERROR(__xludf.DUMMYFUNCTION("""COMPUTED_VALUE"""),590000.0)</f>
        <v>590000</v>
      </c>
      <c r="C32" s="2">
        <f>IFERROR(__xludf.DUMMYFUNCTION("""COMPUTED_VALUE"""),7045000.0)</f>
        <v>7045000</v>
      </c>
      <c r="D32" s="1">
        <f>IFERROR(__xludf.DUMMYFUNCTION("""COMPUTED_VALUE"""),8.4)</f>
        <v>8.4</v>
      </c>
      <c r="E32" s="2">
        <f>IFERROR(__xludf.DUMMYFUNCTION("""COMPUTED_VALUE"""),176640.0)</f>
        <v>176640</v>
      </c>
      <c r="F32" s="2">
        <f>IFERROR(__xludf.DUMMYFUNCTION("""COMPUTED_VALUE"""),59400.0)</f>
        <v>59400</v>
      </c>
    </row>
    <row r="33">
      <c r="A33" s="1" t="str">
        <f>IFERROR(__xludf.DUMMYFUNCTION("""COMPUTED_VALUE"""),"Burkina Faso")</f>
        <v>Burkina Faso</v>
      </c>
      <c r="B33" s="2">
        <f>IFERROR(__xludf.DUMMYFUNCTION("""COMPUTED_VALUE"""),175000.0)</f>
        <v>175000</v>
      </c>
      <c r="C33" s="2">
        <f>IFERROR(__xludf.DUMMYFUNCTION("""COMPUTED_VALUE"""),1.9173E7)</f>
        <v>19173000</v>
      </c>
      <c r="D33" s="1">
        <f>IFERROR(__xludf.DUMMYFUNCTION("""COMPUTED_VALUE"""),0.9)</f>
        <v>0.9</v>
      </c>
      <c r="E33" s="2">
        <f>IFERROR(__xludf.DUMMYFUNCTION("""COMPUTED_VALUE"""),43780.0)</f>
        <v>43780</v>
      </c>
      <c r="F33" s="2">
        <f>IFERROR(__xludf.DUMMYFUNCTION("""COMPUTED_VALUE"""),43000.0)</f>
        <v>43000</v>
      </c>
    </row>
    <row r="34">
      <c r="A34" s="1" t="str">
        <f>IFERROR(__xludf.DUMMYFUNCTION("""COMPUTED_VALUE"""),"Burundi")</f>
        <v>Burundi</v>
      </c>
      <c r="B34" s="2">
        <f>IFERROR(__xludf.DUMMYFUNCTION("""COMPUTED_VALUE"""),238000.0)</f>
        <v>238000</v>
      </c>
      <c r="C34" s="2">
        <f>IFERROR(__xludf.DUMMYFUNCTION("""COMPUTED_VALUE"""),1.1936E7)</f>
        <v>11936000</v>
      </c>
      <c r="D34" s="1">
        <f>IFERROR(__xludf.DUMMYFUNCTION("""COMPUTED_VALUE"""),2.0)</f>
        <v>2</v>
      </c>
      <c r="E34" s="2">
        <f>IFERROR(__xludf.DUMMYFUNCTION("""COMPUTED_VALUE"""),75960.0)</f>
        <v>75960</v>
      </c>
      <c r="F34" s="2">
        <f>IFERROR(__xludf.DUMMYFUNCTION("""COMPUTED_VALUE"""),24278.0)</f>
        <v>24278</v>
      </c>
    </row>
    <row r="35">
      <c r="A35" s="1" t="str">
        <f>IFERROR(__xludf.DUMMYFUNCTION("""COMPUTED_VALUE"""),"Cabo Verde (Cape Verde)")</f>
        <v>Cabo Verde (Cape Verde)</v>
      </c>
      <c r="B35" s="2">
        <f>IFERROR(__xludf.DUMMYFUNCTION("""COMPUTED_VALUE"""),31000.0)</f>
        <v>31000</v>
      </c>
      <c r="C35" s="2">
        <f>IFERROR(__xludf.DUMMYFUNCTION("""COMPUTED_VALUE"""),533000.0)</f>
        <v>533000</v>
      </c>
      <c r="D35" s="1">
        <f>IFERROR(__xludf.DUMMYFUNCTION("""COMPUTED_VALUE"""),5.7)</f>
        <v>5.7</v>
      </c>
      <c r="E35" s="2">
        <f>IFERROR(__xludf.DUMMYFUNCTION("""COMPUTED_VALUE"""),2280.0)</f>
        <v>2280</v>
      </c>
      <c r="F35" s="2">
        <f>IFERROR(__xludf.DUMMYFUNCTION("""COMPUTED_VALUE"""),19000.0)</f>
        <v>19000</v>
      </c>
    </row>
    <row r="36">
      <c r="A36" s="1" t="str">
        <f>IFERROR(__xludf.DUMMYFUNCTION("""COMPUTED_VALUE"""),"Cambodia")</f>
        <v>Cambodia</v>
      </c>
      <c r="B36" s="2">
        <f>IFERROR(__xludf.DUMMYFUNCTION("""COMPUTED_VALUE"""),717000.0)</f>
        <v>717000</v>
      </c>
      <c r="C36" s="2">
        <f>IFERROR(__xludf.DUMMYFUNCTION("""COMPUTED_VALUE"""),1.6076E7)</f>
        <v>16076000</v>
      </c>
      <c r="D36" s="1">
        <f>IFERROR(__xludf.DUMMYFUNCTION("""COMPUTED_VALUE"""),4.5)</f>
        <v>4.5</v>
      </c>
      <c r="E36" s="2">
        <f>IFERROR(__xludf.DUMMYFUNCTION("""COMPUTED_VALUE"""),258670.0)</f>
        <v>258670</v>
      </c>
      <c r="F36" s="2">
        <f>IFERROR(__xludf.DUMMYFUNCTION("""COMPUTED_VALUE"""),64000.0)</f>
        <v>64000</v>
      </c>
    </row>
    <row r="37">
      <c r="A37" s="1" t="str">
        <f>IFERROR(__xludf.DUMMYFUNCTION("""COMPUTED_VALUE"""),"Cameroon")</f>
        <v>Cameroon</v>
      </c>
      <c r="B37" s="2">
        <f>IFERROR(__xludf.DUMMYFUNCTION("""COMPUTED_VALUE"""),510000.0)</f>
        <v>510000</v>
      </c>
      <c r="C37" s="2">
        <f>IFERROR(__xludf.DUMMYFUNCTION("""COMPUTED_VALUE"""),2.4514E7)</f>
        <v>24514000</v>
      </c>
      <c r="D37" s="1">
        <f>IFERROR(__xludf.DUMMYFUNCTION("""COMPUTED_VALUE"""),2.1)</f>
        <v>2.1</v>
      </c>
      <c r="E37" s="2">
        <f>IFERROR(__xludf.DUMMYFUNCTION("""COMPUTED_VALUE"""),27360.0)</f>
        <v>27360</v>
      </c>
      <c r="F37" s="2">
        <f>IFERROR(__xludf.DUMMYFUNCTION("""COMPUTED_VALUE"""),15000.0)</f>
        <v>15000</v>
      </c>
    </row>
    <row r="38">
      <c r="A38" s="1" t="str">
        <f>IFERROR(__xludf.DUMMYFUNCTION("""COMPUTED_VALUE"""),"Canada")</f>
        <v>Canada</v>
      </c>
      <c r="B38" s="2">
        <f>IFERROR(__xludf.DUMMYFUNCTION("""COMPUTED_VALUE"""),1.2708E7)</f>
        <v>12708000</v>
      </c>
      <c r="C38" s="2">
        <f>IFERROR(__xludf.DUMMYFUNCTION("""COMPUTED_VALUE"""),3.6626E7)</f>
        <v>36626000</v>
      </c>
      <c r="D38" s="1">
        <f>IFERROR(__xludf.DUMMYFUNCTION("""COMPUTED_VALUE"""),34.7)</f>
        <v>34.7</v>
      </c>
      <c r="E38" s="2">
        <f>IFERROR(__xludf.DUMMYFUNCTION("""COMPUTED_VALUE"""),233949.0)</f>
        <v>233949</v>
      </c>
      <c r="F38" s="2">
        <f>IFERROR(__xludf.DUMMYFUNCTION("""COMPUTED_VALUE"""),103000.0)</f>
        <v>103000</v>
      </c>
    </row>
    <row r="39">
      <c r="A39" s="1" t="str">
        <f>IFERROR(__xludf.DUMMYFUNCTION("""COMPUTED_VALUE"""),"Cayman Islands")</f>
        <v>Cayman Islands</v>
      </c>
      <c r="B39" s="2">
        <f>IFERROR(__xludf.DUMMYFUNCTION("""COMPUTED_VALUE"""),6000.0)</f>
        <v>6000</v>
      </c>
      <c r="C39" s="2">
        <f>IFERROR(__xludf.DUMMYFUNCTION("""COMPUTED_VALUE"""),62000.0)</f>
        <v>62000</v>
      </c>
      <c r="D39" s="1">
        <f>IFERROR(__xludf.DUMMYFUNCTION("""COMPUTED_VALUE"""),9.2)</f>
        <v>9.2</v>
      </c>
      <c r="E39" s="1" t="str">
        <f>IFERROR(__xludf.DUMMYFUNCTION("""COMPUTED_VALUE"""),"-")</f>
        <v>-</v>
      </c>
      <c r="F39" s="1">
        <f>IFERROR(__xludf.DUMMYFUNCTION("""COMPUTED_VALUE"""),400.0)</f>
        <v>400</v>
      </c>
    </row>
    <row r="40">
      <c r="A40" s="1" t="str">
        <f>IFERROR(__xludf.DUMMYFUNCTION("""COMPUTED_VALUE"""),"Central African Republic")</f>
        <v>Central African Republic</v>
      </c>
      <c r="B40" s="2">
        <f>IFERROR(__xludf.DUMMYFUNCTION("""COMPUTED_VALUE"""),94000.0)</f>
        <v>94000</v>
      </c>
      <c r="C40" s="2">
        <f>IFERROR(__xludf.DUMMYFUNCTION("""COMPUTED_VALUE"""),5099000.0)</f>
        <v>5099000</v>
      </c>
      <c r="D40" s="1">
        <f>IFERROR(__xludf.DUMMYFUNCTION("""COMPUTED_VALUE"""),1.8)</f>
        <v>1.8</v>
      </c>
      <c r="E40" s="2">
        <f>IFERROR(__xludf.DUMMYFUNCTION("""COMPUTED_VALUE"""),8580.0)</f>
        <v>8580</v>
      </c>
      <c r="F40" s="2">
        <f>IFERROR(__xludf.DUMMYFUNCTION("""COMPUTED_VALUE"""),10000.0)</f>
        <v>10000</v>
      </c>
    </row>
    <row r="41">
      <c r="A41" s="1" t="str">
        <f>IFERROR(__xludf.DUMMYFUNCTION("""COMPUTED_VALUE"""),"Chad")</f>
        <v>Chad</v>
      </c>
      <c r="B41" s="2">
        <f>IFERROR(__xludf.DUMMYFUNCTION("""COMPUTED_VALUE"""),151000.0)</f>
        <v>151000</v>
      </c>
      <c r="C41" s="2">
        <f>IFERROR(__xludf.DUMMYFUNCTION("""COMPUTED_VALUE"""),1.4965E7)</f>
        <v>14965000</v>
      </c>
      <c r="D41" s="1">
        <f>IFERROR(__xludf.DUMMYFUNCTION("""COMPUTED_VALUE"""),1.0)</f>
        <v>1</v>
      </c>
      <c r="E41" s="2">
        <f>IFERROR(__xludf.DUMMYFUNCTION("""COMPUTED_VALUE"""),25020.0)</f>
        <v>25020</v>
      </c>
      <c r="F41" s="2">
        <f>IFERROR(__xludf.DUMMYFUNCTION("""COMPUTED_VALUE"""),34000.0)</f>
        <v>34000</v>
      </c>
    </row>
    <row r="42">
      <c r="A42" s="1" t="str">
        <f>IFERROR(__xludf.DUMMYFUNCTION("""COMPUTED_VALUE"""),"Channel Islands")</f>
        <v>Channel Islands</v>
      </c>
      <c r="B42" s="2">
        <f>IFERROR(__xludf.DUMMYFUNCTION("""COMPUTED_VALUE"""),23000.0)</f>
        <v>23000</v>
      </c>
      <c r="C42" s="2">
        <f>IFERROR(__xludf.DUMMYFUNCTION("""COMPUTED_VALUE"""),165000.0)</f>
        <v>165000</v>
      </c>
      <c r="D42" s="1">
        <f>IFERROR(__xludf.DUMMYFUNCTION("""COMPUTED_VALUE"""),14.0)</f>
        <v>14</v>
      </c>
      <c r="E42" s="1" t="str">
        <f>IFERROR(__xludf.DUMMYFUNCTION("""COMPUTED_VALUE"""),"-")</f>
        <v>-</v>
      </c>
      <c r="F42" s="1">
        <f>IFERROR(__xludf.DUMMYFUNCTION("""COMPUTED_VALUE"""),500.0)</f>
        <v>500</v>
      </c>
    </row>
    <row r="43">
      <c r="A43" s="1" t="str">
        <f>IFERROR(__xludf.DUMMYFUNCTION("""COMPUTED_VALUE"""),"Chile")</f>
        <v>Chile</v>
      </c>
      <c r="B43" s="2">
        <f>IFERROR(__xludf.DUMMYFUNCTION("""COMPUTED_VALUE"""),2220000.0)</f>
        <v>2220000</v>
      </c>
      <c r="C43" s="2">
        <f>IFERROR(__xludf.DUMMYFUNCTION("""COMPUTED_VALUE"""),1.8313E7)</f>
        <v>18313000</v>
      </c>
      <c r="D43" s="1">
        <f>IFERROR(__xludf.DUMMYFUNCTION("""COMPUTED_VALUE"""),12.1)</f>
        <v>12.1</v>
      </c>
      <c r="E43" s="2">
        <f>IFERROR(__xludf.DUMMYFUNCTION("""COMPUTED_VALUE"""),311900.0)</f>
        <v>311900</v>
      </c>
      <c r="F43" s="2">
        <f>IFERROR(__xludf.DUMMYFUNCTION("""COMPUTED_VALUE"""),66000.0)</f>
        <v>66000</v>
      </c>
    </row>
    <row r="44">
      <c r="A44" s="1" t="str">
        <f>IFERROR(__xludf.DUMMYFUNCTION("""COMPUTED_VALUE"""),"China")</f>
        <v>China</v>
      </c>
      <c r="B44" s="2">
        <f>IFERROR(__xludf.DUMMYFUNCTION("""COMPUTED_VALUE"""),4.9735E7)</f>
        <v>49735000</v>
      </c>
      <c r="C44" s="2">
        <f>IFERROR(__xludf.DUMMYFUNCTION("""COMPUTED_VALUE"""),1.388233E9)</f>
        <v>1388233000</v>
      </c>
      <c r="D44" s="1">
        <f>IFERROR(__xludf.DUMMYFUNCTION("""COMPUTED_VALUE"""),3.6)</f>
        <v>3.6</v>
      </c>
      <c r="E44" s="2">
        <f>IFERROR(__xludf.DUMMYFUNCTION("""COMPUTED_VALUE"""),2.74664E7)</f>
        <v>27466400</v>
      </c>
      <c r="F44" s="2">
        <f>IFERROR(__xludf.DUMMYFUNCTION("""COMPUTED_VALUE"""),1971000.0)</f>
        <v>1971000</v>
      </c>
    </row>
    <row r="45">
      <c r="A45" s="1" t="str">
        <f>IFERROR(__xludf.DUMMYFUNCTION("""COMPUTED_VALUE"""),"China, Macao SAR")</f>
        <v>China, Macao SAR</v>
      </c>
      <c r="B45" s="2">
        <f>IFERROR(__xludf.DUMMYFUNCTION("""COMPUTED_VALUE"""),22000.0)</f>
        <v>22000</v>
      </c>
      <c r="C45" s="2">
        <f>IFERROR(__xludf.DUMMYFUNCTION("""COMPUTED_VALUE"""),606000.0)</f>
        <v>606000</v>
      </c>
      <c r="D45" s="1">
        <f>IFERROR(__xludf.DUMMYFUNCTION("""COMPUTED_VALUE"""),3.6)</f>
        <v>3.6</v>
      </c>
      <c r="E45" s="1" t="str">
        <f>IFERROR(__xludf.DUMMYFUNCTION("""COMPUTED_VALUE"""),"-")</f>
        <v>-</v>
      </c>
      <c r="F45" s="2">
        <f>IFERROR(__xludf.DUMMYFUNCTION("""COMPUTED_VALUE"""),4000.0)</f>
        <v>4000</v>
      </c>
    </row>
    <row r="46">
      <c r="A46" s="1" t="str">
        <f>IFERROR(__xludf.DUMMYFUNCTION("""COMPUTED_VALUE"""),"Christmas Island")</f>
        <v>Christmas Island</v>
      </c>
      <c r="B46" s="1">
        <f>IFERROR(__xludf.DUMMYFUNCTION("""COMPUTED_VALUE"""),0.0)</f>
        <v>0</v>
      </c>
      <c r="C46" s="2">
        <f>IFERROR(__xludf.DUMMYFUNCTION("""COMPUTED_VALUE"""),2000.0)</f>
        <v>2000</v>
      </c>
      <c r="D46" s="1">
        <f>IFERROR(__xludf.DUMMYFUNCTION("""COMPUTED_VALUE"""),0.0)</f>
        <v>0</v>
      </c>
      <c r="E46" s="1" t="str">
        <f>IFERROR(__xludf.DUMMYFUNCTION("""COMPUTED_VALUE"""),"-")</f>
        <v>-</v>
      </c>
      <c r="F46" s="1">
        <f>IFERROR(__xludf.DUMMYFUNCTION("""COMPUTED_VALUE"""),50.0)</f>
        <v>50</v>
      </c>
    </row>
    <row r="47">
      <c r="A47" s="1" t="str">
        <f>IFERROR(__xludf.DUMMYFUNCTION("""COMPUTED_VALUE"""),"Colombia")</f>
        <v>Colombia</v>
      </c>
      <c r="B47" s="2">
        <f>IFERROR(__xludf.DUMMYFUNCTION("""COMPUTED_VALUE"""),4971000.0)</f>
        <v>4971000</v>
      </c>
      <c r="C47" s="2">
        <f>IFERROR(__xludf.DUMMYFUNCTION("""COMPUTED_VALUE"""),4.9068E7)</f>
        <v>49068000</v>
      </c>
      <c r="D47" s="1">
        <f>IFERROR(__xludf.DUMMYFUNCTION("""COMPUTED_VALUE"""),10.1)</f>
        <v>10.1</v>
      </c>
      <c r="E47" s="2">
        <f>IFERROR(__xludf.DUMMYFUNCTION("""COMPUTED_VALUE"""),350689.0)</f>
        <v>350689</v>
      </c>
      <c r="F47" s="2">
        <f>IFERROR(__xludf.DUMMYFUNCTION("""COMPUTED_VALUE"""),283000.0)</f>
        <v>283000</v>
      </c>
    </row>
    <row r="48">
      <c r="A48" s="1" t="str">
        <f>IFERROR(__xludf.DUMMYFUNCTION("""COMPUTED_VALUE"""),"Comoros")</f>
        <v>Comoros</v>
      </c>
      <c r="B48" s="2">
        <f>IFERROR(__xludf.DUMMYFUNCTION("""COMPUTED_VALUE"""),12000.0)</f>
        <v>12000</v>
      </c>
      <c r="C48" s="2">
        <f>IFERROR(__xludf.DUMMYFUNCTION("""COMPUTED_VALUE"""),826000.0)</f>
        <v>826000</v>
      </c>
      <c r="D48" s="1">
        <f>IFERROR(__xludf.DUMMYFUNCTION("""COMPUTED_VALUE"""),1.5)</f>
        <v>1.5</v>
      </c>
      <c r="E48" s="1">
        <f>IFERROR(__xludf.DUMMYFUNCTION("""COMPUTED_VALUE"""),600.0)</f>
        <v>600</v>
      </c>
      <c r="F48" s="2">
        <f>IFERROR(__xludf.DUMMYFUNCTION("""COMPUTED_VALUE"""),2000.0)</f>
        <v>2000</v>
      </c>
    </row>
    <row r="49">
      <c r="A49" s="1" t="str">
        <f>IFERROR(__xludf.DUMMYFUNCTION("""COMPUTED_VALUE"""),"Congo, Republic of")</f>
        <v>Congo, Republic of</v>
      </c>
      <c r="B49" s="2">
        <f>IFERROR(__xludf.DUMMYFUNCTION("""COMPUTED_VALUE"""),119000.0)</f>
        <v>119000</v>
      </c>
      <c r="C49" s="2">
        <f>IFERROR(__xludf.DUMMYFUNCTION("""COMPUTED_VALUE"""),4866000.0)</f>
        <v>4866000</v>
      </c>
      <c r="D49" s="1">
        <f>IFERROR(__xludf.DUMMYFUNCTION("""COMPUTED_VALUE"""),2.4)</f>
        <v>2.4</v>
      </c>
      <c r="E49" s="2">
        <f>IFERROR(__xludf.DUMMYFUNCTION("""COMPUTED_VALUE"""),12000.0)</f>
        <v>12000</v>
      </c>
      <c r="F49" s="2">
        <f>IFERROR(__xludf.DUMMYFUNCTION("""COMPUTED_VALUE"""),11000.0)</f>
        <v>11000</v>
      </c>
    </row>
    <row r="50">
      <c r="A50" s="1" t="str">
        <f>IFERROR(__xludf.DUMMYFUNCTION("""COMPUTED_VALUE"""),"Costa Rica")</f>
        <v>Costa Rica</v>
      </c>
      <c r="B50" s="2">
        <f>IFERROR(__xludf.DUMMYFUNCTION("""COMPUTED_VALUE"""),493000.0)</f>
        <v>493000</v>
      </c>
      <c r="C50" s="2">
        <f>IFERROR(__xludf.DUMMYFUNCTION("""COMPUTED_VALUE"""),4906000.0)</f>
        <v>4906000</v>
      </c>
      <c r="D50" s="1">
        <f>IFERROR(__xludf.DUMMYFUNCTION("""COMPUTED_VALUE"""),10.0)</f>
        <v>10</v>
      </c>
      <c r="E50" s="1" t="str">
        <f>IFERROR(__xludf.DUMMYFUNCTION("""COMPUTED_VALUE"""),"-")</f>
        <v>-</v>
      </c>
      <c r="F50" s="2">
        <f>IFERROR(__xludf.DUMMYFUNCTION("""COMPUTED_VALUE"""),17000.0)</f>
        <v>17000</v>
      </c>
    </row>
    <row r="51">
      <c r="A51" s="1" t="str">
        <f>IFERROR(__xludf.DUMMYFUNCTION("""COMPUTED_VALUE"""),"Côte d'Ivoire (Ivory Coast)")</f>
        <v>Côte d'Ivoire (Ivory Coast)</v>
      </c>
      <c r="B51" s="2">
        <f>IFERROR(__xludf.DUMMYFUNCTION("""COMPUTED_VALUE"""),1049000.0)</f>
        <v>1049000</v>
      </c>
      <c r="C51" s="2">
        <f>IFERROR(__xludf.DUMMYFUNCTION("""COMPUTED_VALUE"""),2.3816E7)</f>
        <v>23816000</v>
      </c>
      <c r="D51" s="1">
        <f>IFERROR(__xludf.DUMMYFUNCTION("""COMPUTED_VALUE"""),4.4)</f>
        <v>4.4</v>
      </c>
      <c r="E51" s="2">
        <f>IFERROR(__xludf.DUMMYFUNCTION("""COMPUTED_VALUE"""),33045.0)</f>
        <v>33045</v>
      </c>
      <c r="F51" s="2">
        <f>IFERROR(__xludf.DUMMYFUNCTION("""COMPUTED_VALUE"""),15000.0)</f>
        <v>15000</v>
      </c>
    </row>
    <row r="52">
      <c r="A52" s="1" t="str">
        <f>IFERROR(__xludf.DUMMYFUNCTION("""COMPUTED_VALUE"""),"Croatia")</f>
        <v>Croatia</v>
      </c>
      <c r="B52" s="2">
        <f>IFERROR(__xludf.DUMMYFUNCTION("""COMPUTED_VALUE"""),576000.0)</f>
        <v>576000</v>
      </c>
      <c r="C52" s="2">
        <f>IFERROR(__xludf.DUMMYFUNCTION("""COMPUTED_VALUE"""),4210000.0)</f>
        <v>4210000</v>
      </c>
      <c r="D52" s="1">
        <f>IFERROR(__xludf.DUMMYFUNCTION("""COMPUTED_VALUE"""),13.7)</f>
        <v>13.7</v>
      </c>
      <c r="E52" s="2">
        <f>IFERROR(__xludf.DUMMYFUNCTION("""COMPUTED_VALUE"""),75120.0)</f>
        <v>75120</v>
      </c>
      <c r="F52" s="2">
        <f>IFERROR(__xludf.DUMMYFUNCTION("""COMPUTED_VALUE"""),39000.0)</f>
        <v>39000</v>
      </c>
    </row>
    <row r="53">
      <c r="A53" s="1" t="str">
        <f>IFERROR(__xludf.DUMMYFUNCTION("""COMPUTED_VALUE"""),"Cuba")</f>
        <v>Cuba</v>
      </c>
      <c r="B53" s="2">
        <f>IFERROR(__xludf.DUMMYFUNCTION("""COMPUTED_VALUE"""),234000.0)</f>
        <v>234000</v>
      </c>
      <c r="C53" s="2">
        <f>IFERROR(__xludf.DUMMYFUNCTION("""COMPUTED_VALUE"""),1.139E7)</f>
        <v>11390000</v>
      </c>
      <c r="D53" s="1">
        <f>IFERROR(__xludf.DUMMYFUNCTION("""COMPUTED_VALUE"""),2.1)</f>
        <v>2.1</v>
      </c>
      <c r="E53" s="2">
        <f>IFERROR(__xludf.DUMMYFUNCTION("""COMPUTED_VALUE"""),958100.0)</f>
        <v>958100</v>
      </c>
      <c r="F53" s="2">
        <f>IFERROR(__xludf.DUMMYFUNCTION("""COMPUTED_VALUE"""),42000.0)</f>
        <v>42000</v>
      </c>
    </row>
    <row r="54">
      <c r="A54" s="1" t="str">
        <f>IFERROR(__xludf.DUMMYFUNCTION("""COMPUTED_VALUE"""),"Curaçao")</f>
        <v>Curaçao</v>
      </c>
      <c r="B54" s="2">
        <f>IFERROR(__xludf.DUMMYFUNCTION("""COMPUTED_VALUE"""),4000.0)</f>
        <v>4000</v>
      </c>
      <c r="C54" s="2">
        <f>IFERROR(__xludf.DUMMYFUNCTION("""COMPUTED_VALUE"""),160000.0)</f>
        <v>160000</v>
      </c>
      <c r="D54" s="1">
        <f>IFERROR(__xludf.DUMMYFUNCTION("""COMPUTED_VALUE"""),2.6)</f>
        <v>2.6</v>
      </c>
      <c r="E54" s="1" t="str">
        <f>IFERROR(__xludf.DUMMYFUNCTION("""COMPUTED_VALUE"""),"-")</f>
        <v>-</v>
      </c>
      <c r="F54" s="1">
        <f>IFERROR(__xludf.DUMMYFUNCTION("""COMPUTED_VALUE"""),600.0)</f>
        <v>600</v>
      </c>
    </row>
    <row r="55">
      <c r="A55" s="1" t="str">
        <f>IFERROR(__xludf.DUMMYFUNCTION("""COMPUTED_VALUE"""),"Cyprus, North")</f>
        <v>Cyprus, North</v>
      </c>
      <c r="B55" s="2">
        <f>IFERROR(__xludf.DUMMYFUNCTION("""COMPUTED_VALUE"""),61000.0)</f>
        <v>61000</v>
      </c>
      <c r="C55" s="2">
        <f>IFERROR(__xludf.DUMMYFUNCTION("""COMPUTED_VALUE"""),349000.0)</f>
        <v>349000</v>
      </c>
      <c r="D55" s="1">
        <f>IFERROR(__xludf.DUMMYFUNCTION("""COMPUTED_VALUE"""),17.4)</f>
        <v>17.4</v>
      </c>
      <c r="E55" s="1" t="str">
        <f>IFERROR(__xludf.DUMMYFUNCTION("""COMPUTED_VALUE"""),"-")</f>
        <v>-</v>
      </c>
      <c r="F55" s="2">
        <f>IFERROR(__xludf.DUMMYFUNCTION("""COMPUTED_VALUE"""),2000.0)</f>
        <v>2000</v>
      </c>
    </row>
    <row r="56">
      <c r="A56" s="1" t="str">
        <f>IFERROR(__xludf.DUMMYFUNCTION("""COMPUTED_VALUE"""),"Cyprus, Rep. of")</f>
        <v>Cyprus, Rep. of</v>
      </c>
      <c r="B56" s="2">
        <f>IFERROR(__xludf.DUMMYFUNCTION("""COMPUTED_VALUE"""),285000.0)</f>
        <v>285000</v>
      </c>
      <c r="C56" s="2">
        <f>IFERROR(__xludf.DUMMYFUNCTION("""COMPUTED_VALUE"""),839000.0)</f>
        <v>839000</v>
      </c>
      <c r="D56" s="1">
        <f>IFERROR(__xludf.DUMMYFUNCTION("""COMPUTED_VALUE"""),34.0)</f>
        <v>34</v>
      </c>
      <c r="E56" s="2">
        <f>IFERROR(__xludf.DUMMYFUNCTION("""COMPUTED_VALUE"""),99000.0)</f>
        <v>99000</v>
      </c>
      <c r="F56" s="2">
        <f>IFERROR(__xludf.DUMMYFUNCTION("""COMPUTED_VALUE"""),11000.0)</f>
        <v>11000</v>
      </c>
    </row>
    <row r="57">
      <c r="A57" s="1" t="str">
        <f>IFERROR(__xludf.DUMMYFUNCTION("""COMPUTED_VALUE"""),"Czech Republic")</f>
        <v>Czech Republic</v>
      </c>
      <c r="B57" s="2">
        <f>IFERROR(__xludf.DUMMYFUNCTION("""COMPUTED_VALUE"""),1323000.0)</f>
        <v>1323000</v>
      </c>
      <c r="C57" s="2">
        <f>IFERROR(__xludf.DUMMYFUNCTION("""COMPUTED_VALUE"""),1.0555E7)</f>
        <v>10555000</v>
      </c>
      <c r="D57" s="1">
        <f>IFERROR(__xludf.DUMMYFUNCTION("""COMPUTED_VALUE"""),12.5)</f>
        <v>12.5</v>
      </c>
      <c r="E57" s="2">
        <f>IFERROR(__xludf.DUMMYFUNCTION("""COMPUTED_VALUE"""),157233.0)</f>
        <v>157233</v>
      </c>
      <c r="F57" s="2">
        <f>IFERROR(__xludf.DUMMYFUNCTION("""COMPUTED_VALUE"""),76000.0)</f>
        <v>76000</v>
      </c>
    </row>
    <row r="58">
      <c r="A58" s="1" t="str">
        <f>IFERROR(__xludf.DUMMYFUNCTION("""COMPUTED_VALUE"""),"Democratic Republic of Congo")</f>
        <v>Democratic Republic of Congo</v>
      </c>
      <c r="B58" s="2">
        <f>IFERROR(__xludf.DUMMYFUNCTION("""COMPUTED_VALUE"""),946000.0)</f>
        <v>946000</v>
      </c>
      <c r="C58" s="2">
        <f>IFERROR(__xludf.DUMMYFUNCTION("""COMPUTED_VALUE"""),8.2243E7)</f>
        <v>82243000</v>
      </c>
      <c r="D58" s="1">
        <f>IFERROR(__xludf.DUMMYFUNCTION("""COMPUTED_VALUE"""),1.2)</f>
        <v>1.2</v>
      </c>
      <c r="E58" s="2">
        <f>IFERROR(__xludf.DUMMYFUNCTION("""COMPUTED_VALUE"""),161100.0)</f>
        <v>161100</v>
      </c>
      <c r="F58" s="2">
        <f>IFERROR(__xludf.DUMMYFUNCTION("""COMPUTED_VALUE"""),46000.0)</f>
        <v>46000</v>
      </c>
    </row>
    <row r="59">
      <c r="A59" s="1" t="str">
        <f>IFERROR(__xludf.DUMMYFUNCTION("""COMPUTED_VALUE"""),"Denmark")</f>
        <v>Denmark</v>
      </c>
      <c r="B59" s="2">
        <f>IFERROR(__xludf.DUMMYFUNCTION("""COMPUTED_VALUE"""),567000.0)</f>
        <v>567000</v>
      </c>
      <c r="C59" s="2">
        <f>IFERROR(__xludf.DUMMYFUNCTION("""COMPUTED_VALUE"""),5712000.0)</f>
        <v>5712000</v>
      </c>
      <c r="D59" s="1">
        <f>IFERROR(__xludf.DUMMYFUNCTION("""COMPUTED_VALUE"""),9.9)</f>
        <v>9.9</v>
      </c>
      <c r="E59" s="2">
        <f>IFERROR(__xludf.DUMMYFUNCTION("""COMPUTED_VALUE"""),124120.0)</f>
        <v>124120</v>
      </c>
      <c r="F59" s="2">
        <f>IFERROR(__xludf.DUMMYFUNCTION("""COMPUTED_VALUE"""),20000.0)</f>
        <v>20000</v>
      </c>
    </row>
    <row r="60">
      <c r="A60" s="1" t="str">
        <f>IFERROR(__xludf.DUMMYFUNCTION("""COMPUTED_VALUE"""),"Djibouti")</f>
        <v>Djibouti</v>
      </c>
      <c r="B60" s="2">
        <f>IFERROR(__xludf.DUMMYFUNCTION("""COMPUTED_VALUE"""),28000.0)</f>
        <v>28000</v>
      </c>
      <c r="C60" s="2">
        <f>IFERROR(__xludf.DUMMYFUNCTION("""COMPUTED_VALUE"""),911000.0)</f>
        <v>911000</v>
      </c>
      <c r="D60" s="1">
        <f>IFERROR(__xludf.DUMMYFUNCTION("""COMPUTED_VALUE"""),3.1)</f>
        <v>3.1</v>
      </c>
      <c r="E60" s="2">
        <f>IFERROR(__xludf.DUMMYFUNCTION("""COMPUTED_VALUE"""),19855.0)</f>
        <v>19855</v>
      </c>
      <c r="F60" s="2">
        <f>IFERROR(__xludf.DUMMYFUNCTION("""COMPUTED_VALUE"""),5000.0)</f>
        <v>5000</v>
      </c>
    </row>
    <row r="61">
      <c r="A61" s="1" t="str">
        <f>IFERROR(__xludf.DUMMYFUNCTION("""COMPUTED_VALUE"""),"Dominica")</f>
        <v>Dominica</v>
      </c>
      <c r="B61" s="2">
        <f>IFERROR(__xludf.DUMMYFUNCTION("""COMPUTED_VALUE"""),5000.0)</f>
        <v>5000</v>
      </c>
      <c r="C61" s="2">
        <f>IFERROR(__xludf.DUMMYFUNCTION("""COMPUTED_VALUE"""),73000.0)</f>
        <v>73000</v>
      </c>
      <c r="D61" s="1">
        <f>IFERROR(__xludf.DUMMYFUNCTION("""COMPUTED_VALUE"""),6.2)</f>
        <v>6.2</v>
      </c>
      <c r="E61" s="1" t="str">
        <f>IFERROR(__xludf.DUMMYFUNCTION("""COMPUTED_VALUE"""),"-")</f>
        <v>-</v>
      </c>
      <c r="F61" s="1">
        <f>IFERROR(__xludf.DUMMYFUNCTION("""COMPUTED_VALUE"""),600.0)</f>
        <v>600</v>
      </c>
    </row>
    <row r="62">
      <c r="A62" s="1" t="str">
        <f>IFERROR(__xludf.DUMMYFUNCTION("""COMPUTED_VALUE"""),"Dominican Republic")</f>
        <v>Dominican Republic</v>
      </c>
      <c r="B62" s="2">
        <f>IFERROR(__xludf.DUMMYFUNCTION("""COMPUTED_VALUE"""),795000.0)</f>
        <v>795000</v>
      </c>
      <c r="C62" s="2">
        <f>IFERROR(__xludf.DUMMYFUNCTION("""COMPUTED_VALUE"""),1.0767E7)</f>
        <v>10767000</v>
      </c>
      <c r="D62" s="1">
        <f>IFERROR(__xludf.DUMMYFUNCTION("""COMPUTED_VALUE"""),7.4)</f>
        <v>7.4</v>
      </c>
      <c r="E62" s="2">
        <f>IFERROR(__xludf.DUMMYFUNCTION("""COMPUTED_VALUE"""),106495.0)</f>
        <v>106495</v>
      </c>
      <c r="F62" s="2">
        <f>IFERROR(__xludf.DUMMYFUNCTION("""COMPUTED_VALUE"""),46000.0)</f>
        <v>46000</v>
      </c>
    </row>
    <row r="63">
      <c r="A63" s="1" t="str">
        <f>IFERROR(__xludf.DUMMYFUNCTION("""COMPUTED_VALUE"""),"Ecuador")</f>
        <v>Ecuador</v>
      </c>
      <c r="B63" s="2">
        <f>IFERROR(__xludf.DUMMYFUNCTION("""COMPUTED_VALUE"""),402000.0)</f>
        <v>402000</v>
      </c>
      <c r="C63" s="2">
        <f>IFERROR(__xludf.DUMMYFUNCTION("""COMPUTED_VALUE"""),1.6626E7)</f>
        <v>16626000</v>
      </c>
      <c r="D63" s="1">
        <f>IFERROR(__xludf.DUMMYFUNCTION("""COMPUTED_VALUE"""),2.4)</f>
        <v>2.4</v>
      </c>
      <c r="E63" s="2">
        <f>IFERROR(__xludf.DUMMYFUNCTION("""COMPUTED_VALUE"""),253668.0)</f>
        <v>253668</v>
      </c>
      <c r="F63" s="2">
        <f>IFERROR(__xludf.DUMMYFUNCTION("""COMPUTED_VALUE"""),41000.0)</f>
        <v>41000</v>
      </c>
    </row>
    <row r="64">
      <c r="A64" s="1" t="str">
        <f>IFERROR(__xludf.DUMMYFUNCTION("""COMPUTED_VALUE"""),"Egypt")</f>
        <v>Egypt</v>
      </c>
      <c r="B64" s="2">
        <f>IFERROR(__xludf.DUMMYFUNCTION("""COMPUTED_VALUE"""),3931000.0)</f>
        <v>3931000</v>
      </c>
      <c r="C64" s="2">
        <f>IFERROR(__xludf.DUMMYFUNCTION("""COMPUTED_VALUE"""),9.5215E7)</f>
        <v>95215000</v>
      </c>
      <c r="D64" s="1">
        <f>IFERROR(__xludf.DUMMYFUNCTION("""COMPUTED_VALUE"""),4.1)</f>
        <v>4.1</v>
      </c>
      <c r="E64" s="2">
        <f>IFERROR(__xludf.DUMMYFUNCTION("""COMPUTED_VALUE"""),1544750.0)</f>
        <v>1544750</v>
      </c>
      <c r="F64" s="2">
        <f>IFERROR(__xludf.DUMMYFUNCTION("""COMPUTED_VALUE"""),1530000.0)</f>
        <v>1530000</v>
      </c>
    </row>
    <row r="65">
      <c r="A65" s="1" t="str">
        <f>IFERROR(__xludf.DUMMYFUNCTION("""COMPUTED_VALUE"""),"El Salvador")</f>
        <v>El Salvador</v>
      </c>
      <c r="B65" s="2">
        <f>IFERROR(__xludf.DUMMYFUNCTION("""COMPUTED_VALUE"""),737000.0)</f>
        <v>737000</v>
      </c>
      <c r="C65" s="2">
        <f>IFERROR(__xludf.DUMMYFUNCTION("""COMPUTED_VALUE"""),6167000.0)</f>
        <v>6167000</v>
      </c>
      <c r="D65" s="1">
        <f>IFERROR(__xludf.DUMMYFUNCTION("""COMPUTED_VALUE"""),12.0)</f>
        <v>12</v>
      </c>
      <c r="E65" s="2">
        <f>IFERROR(__xludf.DUMMYFUNCTION("""COMPUTED_VALUE"""),127840.0)</f>
        <v>127840</v>
      </c>
      <c r="F65" s="2">
        <f>IFERROR(__xludf.DUMMYFUNCTION("""COMPUTED_VALUE"""),30000.0)</f>
        <v>30000</v>
      </c>
    </row>
    <row r="66">
      <c r="A66" s="1" t="str">
        <f>IFERROR(__xludf.DUMMYFUNCTION("""COMPUTED_VALUE"""),"England and Wales")</f>
        <v>England and Wales</v>
      </c>
      <c r="B66" s="2">
        <f>IFERROR(__xludf.DUMMYFUNCTION("""COMPUTED_VALUE"""),2731000.0)</f>
        <v>2731000</v>
      </c>
      <c r="C66" s="2">
        <f>IFERROR(__xludf.DUMMYFUNCTION("""COMPUTED_VALUE"""),5.8877E7)</f>
        <v>58877000</v>
      </c>
      <c r="D66" s="1">
        <f>IFERROR(__xludf.DUMMYFUNCTION("""COMPUTED_VALUE"""),4.6)</f>
        <v>4.6</v>
      </c>
      <c r="E66" s="1" t="str">
        <f>IFERROR(__xludf.DUMMYFUNCTION("""COMPUTED_VALUE"""),"-")</f>
        <v>-</v>
      </c>
      <c r="F66" s="2">
        <f>IFERROR(__xludf.DUMMYFUNCTION("""COMPUTED_VALUE"""),28000.0)</f>
        <v>28000</v>
      </c>
    </row>
    <row r="67">
      <c r="A67" s="1" t="str">
        <f>IFERROR(__xludf.DUMMYFUNCTION("""COMPUTED_VALUE"""),"Equatorial Guinea")</f>
        <v>Equatorial Guinea</v>
      </c>
      <c r="B67" s="2">
        <f>IFERROR(__xludf.DUMMYFUNCTION("""COMPUTED_VALUE"""),112000.0)</f>
        <v>112000</v>
      </c>
      <c r="C67" s="2">
        <f>IFERROR(__xludf.DUMMYFUNCTION("""COMPUTED_VALUE"""),894000.0)</f>
        <v>894000</v>
      </c>
      <c r="D67" s="1">
        <f>IFERROR(__xludf.DUMMYFUNCTION("""COMPUTED_VALUE"""),12.5)</f>
        <v>12.5</v>
      </c>
      <c r="E67" s="2">
        <f>IFERROR(__xludf.DUMMYFUNCTION("""COMPUTED_VALUE"""),2760.0)</f>
        <v>2760</v>
      </c>
      <c r="F67" s="2">
        <f>IFERROR(__xludf.DUMMYFUNCTION("""COMPUTED_VALUE"""),2000.0)</f>
        <v>2000</v>
      </c>
    </row>
    <row r="68">
      <c r="A68" s="1" t="str">
        <f>IFERROR(__xludf.DUMMYFUNCTION("""COMPUTED_VALUE"""),"Eritrea")</f>
        <v>Eritrea</v>
      </c>
      <c r="B68" s="2">
        <f>IFERROR(__xludf.DUMMYFUNCTION("""COMPUTED_VALUE"""),23000.0)</f>
        <v>23000</v>
      </c>
      <c r="C68" s="2">
        <f>IFERROR(__xludf.DUMMYFUNCTION("""COMPUTED_VALUE"""),5482000.0)</f>
        <v>5482000</v>
      </c>
      <c r="D68" s="1">
        <f>IFERROR(__xludf.DUMMYFUNCTION("""COMPUTED_VALUE"""),0.4)</f>
        <v>0.4</v>
      </c>
      <c r="E68" s="2">
        <f>IFERROR(__xludf.DUMMYFUNCTION("""COMPUTED_VALUE"""),668550.0)</f>
        <v>668550</v>
      </c>
      <c r="F68" s="2">
        <f>IFERROR(__xludf.DUMMYFUNCTION("""COMPUTED_VALUE"""),12000.0)</f>
        <v>12000</v>
      </c>
    </row>
    <row r="69">
      <c r="A69" s="1" t="str">
        <f>IFERROR(__xludf.DUMMYFUNCTION("""COMPUTED_VALUE"""),"Estonia")</f>
        <v>Estonia</v>
      </c>
      <c r="B69" s="2">
        <f>IFERROR(__xludf.DUMMYFUNCTION("""COMPUTED_VALUE"""),65000.0)</f>
        <v>65000</v>
      </c>
      <c r="C69" s="2">
        <f>IFERROR(__xludf.DUMMYFUNCTION("""COMPUTED_VALUE"""),1306000.0)</f>
        <v>1306000</v>
      </c>
      <c r="D69" s="1">
        <f>IFERROR(__xludf.DUMMYFUNCTION("""COMPUTED_VALUE"""),5.0)</f>
        <v>5</v>
      </c>
      <c r="E69" s="2">
        <f>IFERROR(__xludf.DUMMYFUNCTION("""COMPUTED_VALUE"""),38760.0)</f>
        <v>38760</v>
      </c>
      <c r="F69" s="2">
        <f>IFERROR(__xludf.DUMMYFUNCTION("""COMPUTED_VALUE"""),18000.0)</f>
        <v>18000</v>
      </c>
    </row>
    <row r="70">
      <c r="A70" s="1" t="str">
        <f>IFERROR(__xludf.DUMMYFUNCTION("""COMPUTED_VALUE"""),"Ethiopia")</f>
        <v>Ethiopia</v>
      </c>
      <c r="B70" s="2">
        <f>IFERROR(__xludf.DUMMYFUNCTION("""COMPUTED_VALUE"""),377000.0)</f>
        <v>377000</v>
      </c>
      <c r="C70" s="2">
        <f>IFERROR(__xludf.DUMMYFUNCTION("""COMPUTED_VALUE"""),1.04345E8)</f>
        <v>104345000</v>
      </c>
      <c r="D70" s="1">
        <f>IFERROR(__xludf.DUMMYFUNCTION("""COMPUTED_VALUE"""),0.4)</f>
        <v>0.4</v>
      </c>
      <c r="E70" s="2">
        <f>IFERROR(__xludf.DUMMYFUNCTION("""COMPUTED_VALUE"""),525600.0)</f>
        <v>525600</v>
      </c>
      <c r="F70" s="2">
        <f>IFERROR(__xludf.DUMMYFUNCTION("""COMPUTED_VALUE"""),79000.0)</f>
        <v>79000</v>
      </c>
    </row>
    <row r="71">
      <c r="A71" s="1" t="str">
        <f>IFERROR(__xludf.DUMMYFUNCTION("""COMPUTED_VALUE"""),"Falkland Islands (Malvinas)")</f>
        <v>Falkland Islands (Malvinas)</v>
      </c>
      <c r="B71" s="2">
        <f>IFERROR(__xludf.DUMMYFUNCTION("""COMPUTED_VALUE"""),2000.0)</f>
        <v>2000</v>
      </c>
      <c r="C71" s="2">
        <f>IFERROR(__xludf.DUMMYFUNCTION("""COMPUTED_VALUE"""),3000.0)</f>
        <v>3000</v>
      </c>
      <c r="D71" s="1">
        <f>IFERROR(__xludf.DUMMYFUNCTION("""COMPUTED_VALUE"""),62.1)</f>
        <v>62.1</v>
      </c>
      <c r="E71" s="1" t="str">
        <f>IFERROR(__xludf.DUMMYFUNCTION("""COMPUTED_VALUE"""),"-")</f>
        <v>-</v>
      </c>
      <c r="F71" s="1">
        <f>IFERROR(__xludf.DUMMYFUNCTION("""COMPUTED_VALUE"""),30.0)</f>
        <v>30</v>
      </c>
    </row>
    <row r="72">
      <c r="A72" s="1" t="str">
        <f>IFERROR(__xludf.DUMMYFUNCTION("""COMPUTED_VALUE"""),"Faroe Islands")</f>
        <v>Faroe Islands</v>
      </c>
      <c r="B72" s="2">
        <f>IFERROR(__xludf.DUMMYFUNCTION("""COMPUTED_VALUE"""),5000.0)</f>
        <v>5000</v>
      </c>
      <c r="C72" s="2">
        <f>IFERROR(__xludf.DUMMYFUNCTION("""COMPUTED_VALUE"""),49000.0)</f>
        <v>49000</v>
      </c>
      <c r="D72" s="1">
        <f>IFERROR(__xludf.DUMMYFUNCTION("""COMPUTED_VALUE"""),9.9)</f>
        <v>9.9</v>
      </c>
      <c r="E72" s="1" t="str">
        <f>IFERROR(__xludf.DUMMYFUNCTION("""COMPUTED_VALUE"""),"-")</f>
        <v>-</v>
      </c>
      <c r="F72" s="1">
        <f>IFERROR(__xludf.DUMMYFUNCTION("""COMPUTED_VALUE"""),200.0)</f>
        <v>200</v>
      </c>
    </row>
    <row r="73">
      <c r="A73" s="1" t="str">
        <f>IFERROR(__xludf.DUMMYFUNCTION("""COMPUTED_VALUE"""),"Fiji")</f>
        <v>Fiji</v>
      </c>
      <c r="B73" s="2">
        <f>IFERROR(__xludf.DUMMYFUNCTION("""COMPUTED_VALUE"""),5000.0)</f>
        <v>5000</v>
      </c>
      <c r="C73" s="2">
        <f>IFERROR(__xludf.DUMMYFUNCTION("""COMPUTED_VALUE"""),903000.0)</f>
        <v>903000</v>
      </c>
      <c r="D73" s="1">
        <f>IFERROR(__xludf.DUMMYFUNCTION("""COMPUTED_VALUE"""),0.5)</f>
        <v>0.5</v>
      </c>
      <c r="E73" s="2">
        <f>IFERROR(__xludf.DUMMYFUNCTION("""COMPUTED_VALUE"""),16700.0)</f>
        <v>16700</v>
      </c>
      <c r="F73" s="2">
        <f>IFERROR(__xludf.DUMMYFUNCTION("""COMPUTED_VALUE"""),2000.0)</f>
        <v>2000</v>
      </c>
    </row>
    <row r="74">
      <c r="A74" s="1" t="str">
        <f>IFERROR(__xludf.DUMMYFUNCTION("""COMPUTED_VALUE"""),"Finland")</f>
        <v>Finland</v>
      </c>
      <c r="B74" s="2">
        <f>IFERROR(__xludf.DUMMYFUNCTION("""COMPUTED_VALUE"""),1793000.0)</f>
        <v>1793000</v>
      </c>
      <c r="C74" s="2">
        <f>IFERROR(__xludf.DUMMYFUNCTION("""COMPUTED_VALUE"""),5541000.0)</f>
        <v>5541000</v>
      </c>
      <c r="D74" s="1">
        <f>IFERROR(__xludf.DUMMYFUNCTION("""COMPUTED_VALUE"""),32.4)</f>
        <v>32.4</v>
      </c>
      <c r="E74" s="2">
        <f>IFERROR(__xludf.DUMMYFUNCTION("""COMPUTED_VALUE"""),475030.0)</f>
        <v>475030</v>
      </c>
      <c r="F74" s="2">
        <f>IFERROR(__xludf.DUMMYFUNCTION("""COMPUTED_VALUE"""),14000.0)</f>
        <v>14000</v>
      </c>
    </row>
    <row r="75">
      <c r="A75" s="1" t="str">
        <f>IFERROR(__xludf.DUMMYFUNCTION("""COMPUTED_VALUE"""),"France")</f>
        <v>France</v>
      </c>
      <c r="B75" s="2">
        <f>IFERROR(__xludf.DUMMYFUNCTION("""COMPUTED_VALUE"""),1.2732E7)</f>
        <v>12732000</v>
      </c>
      <c r="C75" s="2">
        <f>IFERROR(__xludf.DUMMYFUNCTION("""COMPUTED_VALUE"""),6.4939E7)</f>
        <v>64939000</v>
      </c>
      <c r="D75" s="1">
        <f>IFERROR(__xludf.DUMMYFUNCTION("""COMPUTED_VALUE"""),19.6)</f>
        <v>19.6</v>
      </c>
      <c r="E75" s="2">
        <f>IFERROR(__xludf.DUMMYFUNCTION("""COMPUTED_VALUE"""),566430.0)</f>
        <v>566430</v>
      </c>
      <c r="F75" s="2">
        <f>IFERROR(__xludf.DUMMYFUNCTION("""COMPUTED_VALUE"""),497000.0)</f>
        <v>497000</v>
      </c>
    </row>
    <row r="76">
      <c r="A76" s="1" t="str">
        <f>IFERROR(__xludf.DUMMYFUNCTION("""COMPUTED_VALUE"""),"French Guiana")</f>
        <v>French Guiana</v>
      </c>
      <c r="B76" s="2">
        <f>IFERROR(__xludf.DUMMYFUNCTION("""COMPUTED_VALUE"""),55000.0)</f>
        <v>55000</v>
      </c>
      <c r="C76" s="2">
        <f>IFERROR(__xludf.DUMMYFUNCTION("""COMPUTED_VALUE"""),283000.0)</f>
        <v>283000</v>
      </c>
      <c r="D76" s="1">
        <f>IFERROR(__xludf.DUMMYFUNCTION("""COMPUTED_VALUE"""),19.6)</f>
        <v>19.6</v>
      </c>
      <c r="E76" s="1" t="str">
        <f>IFERROR(__xludf.DUMMYFUNCTION("""COMPUTED_VALUE"""),"–")</f>
        <v>–</v>
      </c>
      <c r="F76" s="2">
        <f>IFERROR(__xludf.DUMMYFUNCTION("""COMPUTED_VALUE"""),2000.0)</f>
        <v>2000</v>
      </c>
    </row>
    <row r="77">
      <c r="A77" s="1" t="str">
        <f>IFERROR(__xludf.DUMMYFUNCTION("""COMPUTED_VALUE"""),"French Polynesia")</f>
        <v>French Polynesia</v>
      </c>
      <c r="B77" s="2">
        <f>IFERROR(__xludf.DUMMYFUNCTION("""COMPUTED_VALUE"""),7000.0)</f>
        <v>7000</v>
      </c>
      <c r="C77" s="2">
        <f>IFERROR(__xludf.DUMMYFUNCTION("""COMPUTED_VALUE"""),289000.0)</f>
        <v>289000</v>
      </c>
      <c r="D77" s="1">
        <f>IFERROR(__xludf.DUMMYFUNCTION("""COMPUTED_VALUE"""),2.5)</f>
        <v>2.5</v>
      </c>
      <c r="E77" s="1" t="str">
        <f>IFERROR(__xludf.DUMMYFUNCTION("""COMPUTED_VALUE"""),"-")</f>
        <v>-</v>
      </c>
      <c r="F77" s="1">
        <f>IFERROR(__xludf.DUMMYFUNCTION("""COMPUTED_VALUE"""),400.0)</f>
        <v>400</v>
      </c>
    </row>
    <row r="78">
      <c r="A78" s="1" t="str">
        <f>IFERROR(__xludf.DUMMYFUNCTION("""COMPUTED_VALUE"""),"Gabon")</f>
        <v>Gabon</v>
      </c>
      <c r="B78" s="2">
        <f>IFERROR(__xludf.DUMMYFUNCTION("""COMPUTED_VALUE"""),61000.0)</f>
        <v>61000</v>
      </c>
      <c r="C78" s="2">
        <f>IFERROR(__xludf.DUMMYFUNCTION("""COMPUTED_VALUE"""),1801000.0)</f>
        <v>1801000</v>
      </c>
      <c r="D78" s="1">
        <f>IFERROR(__xludf.DUMMYFUNCTION("""COMPUTED_VALUE"""),3.4)</f>
        <v>3.4</v>
      </c>
      <c r="E78" s="2">
        <f>IFERROR(__xludf.DUMMYFUNCTION("""COMPUTED_VALUE"""),5640.0)</f>
        <v>5640</v>
      </c>
      <c r="F78" s="2">
        <f>IFERROR(__xludf.DUMMYFUNCTION("""COMPUTED_VALUE"""),4000.0)</f>
        <v>4000</v>
      </c>
    </row>
    <row r="79">
      <c r="A79" s="1" t="str">
        <f>IFERROR(__xludf.DUMMYFUNCTION("""COMPUTED_VALUE"""),"Gambia")</f>
        <v>Gambia</v>
      </c>
      <c r="B79" s="2">
        <f>IFERROR(__xludf.DUMMYFUNCTION("""COMPUTED_VALUE"""),137000.0)</f>
        <v>137000</v>
      </c>
      <c r="C79" s="2">
        <f>IFERROR(__xludf.DUMMYFUNCTION("""COMPUTED_VALUE"""),2120000.0)</f>
        <v>2120000</v>
      </c>
      <c r="D79" s="1">
        <f>IFERROR(__xludf.DUMMYFUNCTION("""COMPUTED_VALUE"""),6.5)</f>
        <v>6.5</v>
      </c>
      <c r="E79" s="2">
        <f>IFERROR(__xludf.DUMMYFUNCTION("""COMPUTED_VALUE"""),1080.0)</f>
        <v>1080</v>
      </c>
      <c r="F79" s="2">
        <f>IFERROR(__xludf.DUMMYFUNCTION("""COMPUTED_VALUE"""),5000.0)</f>
        <v>5000</v>
      </c>
    </row>
    <row r="80">
      <c r="A80" s="1" t="str">
        <f>IFERROR(__xludf.DUMMYFUNCTION("""COMPUTED_VALUE"""),"Georgia")</f>
        <v>Georgia</v>
      </c>
      <c r="B80" s="2">
        <f>IFERROR(__xludf.DUMMYFUNCTION("""COMPUTED_VALUE"""),402000.0)</f>
        <v>402000</v>
      </c>
      <c r="C80" s="2">
        <f>IFERROR(__xludf.DUMMYFUNCTION("""COMPUTED_VALUE"""),3973000.0)</f>
        <v>3973000</v>
      </c>
      <c r="D80" s="1">
        <f>IFERROR(__xludf.DUMMYFUNCTION("""COMPUTED_VALUE"""),10.1)</f>
        <v>10.1</v>
      </c>
      <c r="E80" s="2">
        <f>IFERROR(__xludf.DUMMYFUNCTION("""COMPUTED_VALUE"""),63950.0)</f>
        <v>63950</v>
      </c>
      <c r="F80" s="2">
        <f>IFERROR(__xludf.DUMMYFUNCTION("""COMPUTED_VALUE"""),41000.0)</f>
        <v>41000</v>
      </c>
    </row>
    <row r="81">
      <c r="A81" s="1" t="str">
        <f>IFERROR(__xludf.DUMMYFUNCTION("""COMPUTED_VALUE"""),"Germany")</f>
        <v>Germany</v>
      </c>
      <c r="B81" s="2">
        <f>IFERROR(__xludf.DUMMYFUNCTION("""COMPUTED_VALUE"""),1.5822E7)</f>
        <v>15822000</v>
      </c>
      <c r="C81" s="2">
        <f>IFERROR(__xludf.DUMMYFUNCTION("""COMPUTED_VALUE"""),8.0636E7)</f>
        <v>80636000</v>
      </c>
      <c r="D81" s="1">
        <f>IFERROR(__xludf.DUMMYFUNCTION("""COMPUTED_VALUE"""),19.6)</f>
        <v>19.6</v>
      </c>
      <c r="E81" s="2">
        <f>IFERROR(__xludf.DUMMYFUNCTION("""COMPUTED_VALUE"""),483016.0)</f>
        <v>483016</v>
      </c>
      <c r="F81" s="2">
        <f>IFERROR(__xludf.DUMMYFUNCTION("""COMPUTED_VALUE"""),466000.0)</f>
        <v>466000</v>
      </c>
    </row>
    <row r="82">
      <c r="A82" s="1" t="str">
        <f>IFERROR(__xludf.DUMMYFUNCTION("""COMPUTED_VALUE"""),"Ghana")</f>
        <v>Ghana</v>
      </c>
      <c r="B82" s="2">
        <f>IFERROR(__xludf.DUMMYFUNCTION("""COMPUTED_VALUE"""),2280000.0)</f>
        <v>2280000</v>
      </c>
      <c r="C82" s="2">
        <f>IFERROR(__xludf.DUMMYFUNCTION("""COMPUTED_VALUE"""),2.8657E7)</f>
        <v>28657000</v>
      </c>
      <c r="D82" s="1">
        <f>IFERROR(__xludf.DUMMYFUNCTION("""COMPUTED_VALUE"""),8.0)</f>
        <v>8</v>
      </c>
      <c r="E82" s="2">
        <f>IFERROR(__xludf.DUMMYFUNCTION("""COMPUTED_VALUE"""),18600.0)</f>
        <v>18600</v>
      </c>
      <c r="F82" s="2">
        <f>IFERROR(__xludf.DUMMYFUNCTION("""COMPUTED_VALUE"""),28000.0)</f>
        <v>28000</v>
      </c>
    </row>
    <row r="83">
      <c r="A83" s="1" t="str">
        <f>IFERROR(__xludf.DUMMYFUNCTION("""COMPUTED_VALUE"""),"Gibraltar")</f>
        <v>Gibraltar</v>
      </c>
      <c r="B83" s="2">
        <f>IFERROR(__xludf.DUMMYFUNCTION("""COMPUTED_VALUE"""),1000.0)</f>
        <v>1000</v>
      </c>
      <c r="C83" s="2">
        <f>IFERROR(__xludf.DUMMYFUNCTION("""COMPUTED_VALUE"""),32000.0)</f>
        <v>32000</v>
      </c>
      <c r="D83" s="1">
        <f>IFERROR(__xludf.DUMMYFUNCTION("""COMPUTED_VALUE"""),4.1)</f>
        <v>4.1</v>
      </c>
      <c r="E83" s="1" t="str">
        <f>IFERROR(__xludf.DUMMYFUNCTION("""COMPUTED_VALUE"""),"-")</f>
        <v>-</v>
      </c>
      <c r="F83" s="1">
        <f>IFERROR(__xludf.DUMMYFUNCTION("""COMPUTED_VALUE"""),600.0)</f>
        <v>600</v>
      </c>
    </row>
    <row r="84">
      <c r="A84" s="1" t="str">
        <f>IFERROR(__xludf.DUMMYFUNCTION("""COMPUTED_VALUE"""),"Greece")</f>
        <v>Greece</v>
      </c>
      <c r="B84" s="2">
        <f>IFERROR(__xludf.DUMMYFUNCTION("""COMPUTED_VALUE"""),1920000.0)</f>
        <v>1920000</v>
      </c>
      <c r="C84" s="2">
        <f>IFERROR(__xludf.DUMMYFUNCTION("""COMPUTED_VALUE"""),1.0893E7)</f>
        <v>10893000</v>
      </c>
      <c r="D84" s="1">
        <f>IFERROR(__xludf.DUMMYFUNCTION("""COMPUTED_VALUE"""),17.6)</f>
        <v>17.6</v>
      </c>
      <c r="E84" s="2">
        <f>IFERROR(__xludf.DUMMYFUNCTION("""COMPUTED_VALUE"""),642510.0)</f>
        <v>642510</v>
      </c>
      <c r="F84" s="2">
        <f>IFERROR(__xludf.DUMMYFUNCTION("""COMPUTED_VALUE"""),99000.0)</f>
        <v>99000</v>
      </c>
    </row>
    <row r="85">
      <c r="A85" s="1" t="str">
        <f>IFERROR(__xludf.DUMMYFUNCTION("""COMPUTED_VALUE"""),"Greenland")</f>
        <v>Greenland</v>
      </c>
      <c r="B85" s="2">
        <f>IFERROR(__xludf.DUMMYFUNCTION("""COMPUTED_VALUE"""),13000.0)</f>
        <v>13000</v>
      </c>
      <c r="C85" s="2">
        <f>IFERROR(__xludf.DUMMYFUNCTION("""COMPUTED_VALUE"""),56000.0)</f>
        <v>56000</v>
      </c>
      <c r="D85" s="1">
        <f>IFERROR(__xludf.DUMMYFUNCTION("""COMPUTED_VALUE"""),22.3)</f>
        <v>22.3</v>
      </c>
      <c r="E85" s="1" t="str">
        <f>IFERROR(__xludf.DUMMYFUNCTION("""COMPUTED_VALUE"""),"–")</f>
        <v>–</v>
      </c>
      <c r="F85" s="1">
        <f>IFERROR(__xludf.DUMMYFUNCTION("""COMPUTED_VALUE"""),300.0)</f>
        <v>300</v>
      </c>
    </row>
    <row r="86">
      <c r="A86" s="1" t="str">
        <f>IFERROR(__xludf.DUMMYFUNCTION("""COMPUTED_VALUE"""),"Grenada")</f>
        <v>Grenada</v>
      </c>
      <c r="B86" s="2">
        <f>IFERROR(__xludf.DUMMYFUNCTION("""COMPUTED_VALUE"""),5000.0)</f>
        <v>5000</v>
      </c>
      <c r="C86" s="2">
        <f>IFERROR(__xludf.DUMMYFUNCTION("""COMPUTED_VALUE"""),108000.0)</f>
        <v>108000</v>
      </c>
      <c r="D86" s="1">
        <f>IFERROR(__xludf.DUMMYFUNCTION("""COMPUTED_VALUE"""),4.6)</f>
        <v>4.6</v>
      </c>
      <c r="E86" s="1" t="str">
        <f>IFERROR(__xludf.DUMMYFUNCTION("""COMPUTED_VALUE"""),"–")</f>
        <v>–</v>
      </c>
      <c r="F86" s="2">
        <f>IFERROR(__xludf.DUMMYFUNCTION("""COMPUTED_VALUE"""),1000.0)</f>
        <v>1000</v>
      </c>
    </row>
    <row r="87">
      <c r="A87" s="1" t="str">
        <f>IFERROR(__xludf.DUMMYFUNCTION("""COMPUTED_VALUE"""),"Guadeloupe")</f>
        <v>Guadeloupe</v>
      </c>
      <c r="B87" s="2">
        <f>IFERROR(__xludf.DUMMYFUNCTION("""COMPUTED_VALUE"""),40000.0)</f>
        <v>40000</v>
      </c>
      <c r="C87" s="2">
        <f>IFERROR(__xludf.DUMMYFUNCTION("""COMPUTED_VALUE"""),472000.0)</f>
        <v>472000</v>
      </c>
      <c r="D87" s="1">
        <f>IFERROR(__xludf.DUMMYFUNCTION("""COMPUTED_VALUE"""),8.5)</f>
        <v>8.5</v>
      </c>
      <c r="E87" s="1" t="str">
        <f>IFERROR(__xludf.DUMMYFUNCTION("""COMPUTED_VALUE"""),"-")</f>
        <v>-</v>
      </c>
      <c r="F87" s="2">
        <f>IFERROR(__xludf.DUMMYFUNCTION("""COMPUTED_VALUE"""),2000.0)</f>
        <v>2000</v>
      </c>
    </row>
    <row r="88">
      <c r="A88" s="1" t="str">
        <f>IFERROR(__xludf.DUMMYFUNCTION("""COMPUTED_VALUE"""),"Guam")</f>
        <v>Guam</v>
      </c>
      <c r="B88" s="2">
        <f>IFERROR(__xludf.DUMMYFUNCTION("""COMPUTED_VALUE"""),20000.0)</f>
        <v>20000</v>
      </c>
      <c r="C88" s="2">
        <f>IFERROR(__xludf.DUMMYFUNCTION("""COMPUTED_VALUE"""),174000.0)</f>
        <v>174000</v>
      </c>
      <c r="D88" s="1">
        <f>IFERROR(__xludf.DUMMYFUNCTION("""COMPUTED_VALUE"""),11.5)</f>
        <v>11.5</v>
      </c>
      <c r="E88" s="1" t="str">
        <f>IFERROR(__xludf.DUMMYFUNCTION("""COMPUTED_VALUE"""),"-")</f>
        <v>-</v>
      </c>
      <c r="F88" s="1">
        <f>IFERROR(__xludf.DUMMYFUNCTION("""COMPUTED_VALUE"""),500.0)</f>
        <v>500</v>
      </c>
    </row>
    <row r="89">
      <c r="A89" s="1" t="str">
        <f>IFERROR(__xludf.DUMMYFUNCTION("""COMPUTED_VALUE"""),"Guatemala")</f>
        <v>Guatemala</v>
      </c>
      <c r="B89" s="2">
        <f>IFERROR(__xludf.DUMMYFUNCTION("""COMPUTED_VALUE"""),2062000.0)</f>
        <v>2062000</v>
      </c>
      <c r="C89" s="2">
        <f>IFERROR(__xludf.DUMMYFUNCTION("""COMPUTED_VALUE"""),1.7005E7)</f>
        <v>17005000</v>
      </c>
      <c r="D89" s="1">
        <f>IFERROR(__xludf.DUMMYFUNCTION("""COMPUTED_VALUE"""),12.1)</f>
        <v>12.1</v>
      </c>
      <c r="E89" s="2">
        <f>IFERROR(__xludf.DUMMYFUNCTION("""COMPUTED_VALUE"""),160600.0)</f>
        <v>160600</v>
      </c>
      <c r="F89" s="2">
        <f>IFERROR(__xludf.DUMMYFUNCTION("""COMPUTED_VALUE"""),43000.0)</f>
        <v>43000</v>
      </c>
    </row>
    <row r="90">
      <c r="A90" s="1" t="str">
        <f>IFERROR(__xludf.DUMMYFUNCTION("""COMPUTED_VALUE"""),"Guinea")</f>
        <v>Guinea</v>
      </c>
      <c r="B90" s="2">
        <f>IFERROR(__xludf.DUMMYFUNCTION("""COMPUTED_VALUE"""),130000.0)</f>
        <v>130000</v>
      </c>
      <c r="C90" s="2">
        <f>IFERROR(__xludf.DUMMYFUNCTION("""COMPUTED_VALUE"""),1.3291E7)</f>
        <v>13291000</v>
      </c>
      <c r="D90" s="1">
        <f>IFERROR(__xludf.DUMMYFUNCTION("""COMPUTED_VALUE"""),1.0)</f>
        <v>1</v>
      </c>
      <c r="E90" s="2">
        <f>IFERROR(__xludf.DUMMYFUNCTION("""COMPUTED_VALUE"""),23080.0)</f>
        <v>23080</v>
      </c>
      <c r="F90" s="2">
        <f>IFERROR(__xludf.DUMMYFUNCTION("""COMPUTED_VALUE"""),13000.0)</f>
        <v>13000</v>
      </c>
    </row>
    <row r="91">
      <c r="A91" s="1" t="str">
        <f>IFERROR(__xludf.DUMMYFUNCTION("""COMPUTED_VALUE"""),"Guinea-Bissau")</f>
        <v>Guinea-Bissau</v>
      </c>
      <c r="B91" s="2">
        <f>IFERROR(__xludf.DUMMYFUNCTION("""COMPUTED_VALUE"""),29000.0)</f>
        <v>29000</v>
      </c>
      <c r="C91" s="2">
        <f>IFERROR(__xludf.DUMMYFUNCTION("""COMPUTED_VALUE"""),1933000.0)</f>
        <v>1933000</v>
      </c>
      <c r="D91" s="1">
        <f>IFERROR(__xludf.DUMMYFUNCTION("""COMPUTED_VALUE"""),1.5)</f>
        <v>1.5</v>
      </c>
      <c r="E91" s="2">
        <f>IFERROR(__xludf.DUMMYFUNCTION("""COMPUTED_VALUE"""),10260.0)</f>
        <v>10260</v>
      </c>
      <c r="F91" s="2">
        <f>IFERROR(__xludf.DUMMYFUNCTION("""COMPUTED_VALUE"""),4000.0)</f>
        <v>4000</v>
      </c>
    </row>
    <row r="92">
      <c r="A92" s="1" t="str">
        <f>IFERROR(__xludf.DUMMYFUNCTION("""COMPUTED_VALUE"""),"Guyana")</f>
        <v>Guyana</v>
      </c>
      <c r="B92" s="2">
        <f>IFERROR(__xludf.DUMMYFUNCTION("""COMPUTED_VALUE"""),122000.0)</f>
        <v>122000</v>
      </c>
      <c r="C92" s="2">
        <f>IFERROR(__xludf.DUMMYFUNCTION("""COMPUTED_VALUE"""),774000.0)</f>
        <v>774000</v>
      </c>
      <c r="D92" s="1">
        <f>IFERROR(__xludf.DUMMYFUNCTION("""COMPUTED_VALUE"""),15.8)</f>
        <v>15.8</v>
      </c>
      <c r="E92" s="2">
        <f>IFERROR(__xludf.DUMMYFUNCTION("""COMPUTED_VALUE"""),10890.0)</f>
        <v>10890</v>
      </c>
      <c r="F92" s="2">
        <f>IFERROR(__xludf.DUMMYFUNCTION("""COMPUTED_VALUE"""),4000.0)</f>
        <v>4000</v>
      </c>
    </row>
    <row r="93">
      <c r="A93" s="1" t="str">
        <f>IFERROR(__xludf.DUMMYFUNCTION("""COMPUTED_VALUE"""),"Haiti")</f>
        <v>Haiti</v>
      </c>
      <c r="B93" s="2">
        <f>IFERROR(__xludf.DUMMYFUNCTION("""COMPUTED_VALUE"""),291000.0)</f>
        <v>291000</v>
      </c>
      <c r="C93" s="2">
        <f>IFERROR(__xludf.DUMMYFUNCTION("""COMPUTED_VALUE"""),1.0983E7)</f>
        <v>10983000</v>
      </c>
      <c r="D93" s="1">
        <f>IFERROR(__xludf.DUMMYFUNCTION("""COMPUTED_VALUE"""),2.6)</f>
        <v>2.6</v>
      </c>
      <c r="E93" s="1">
        <f>IFERROR(__xludf.DUMMYFUNCTION("""COMPUTED_VALUE"""),380.0)</f>
        <v>380</v>
      </c>
      <c r="F93" s="2">
        <f>IFERROR(__xludf.DUMMYFUNCTION("""COMPUTED_VALUE"""),15000.0)</f>
        <v>15000</v>
      </c>
    </row>
    <row r="94">
      <c r="A94" s="1" t="str">
        <f>IFERROR(__xludf.DUMMYFUNCTION("""COMPUTED_VALUE"""),"Holy See")</f>
        <v>Holy See</v>
      </c>
      <c r="B94" s="1">
        <f>IFERROR(__xludf.DUMMYFUNCTION("""COMPUTED_VALUE"""),0.0)</f>
        <v>0</v>
      </c>
      <c r="C94" s="2">
        <f>IFERROR(__xludf.DUMMYFUNCTION("""COMPUTED_VALUE"""),1000.0)</f>
        <v>1000</v>
      </c>
      <c r="D94" s="1">
        <f>IFERROR(__xludf.DUMMYFUNCTION("""COMPUTED_VALUE"""),0.0)</f>
        <v>0</v>
      </c>
      <c r="E94" s="1" t="str">
        <f>IFERROR(__xludf.DUMMYFUNCTION("""COMPUTED_VALUE"""),"-")</f>
        <v>-</v>
      </c>
      <c r="F94" s="1">
        <f>IFERROR(__xludf.DUMMYFUNCTION("""COMPUTED_VALUE"""),200.0)</f>
        <v>200</v>
      </c>
    </row>
    <row r="95">
      <c r="A95" s="1" t="str">
        <f>IFERROR(__xludf.DUMMYFUNCTION("""COMPUTED_VALUE"""),"Honduras")</f>
        <v>Honduras</v>
      </c>
      <c r="B95" s="2">
        <f>IFERROR(__xludf.DUMMYFUNCTION("""COMPUTED_VALUE"""),1171000.0)</f>
        <v>1171000</v>
      </c>
      <c r="C95" s="2">
        <f>IFERROR(__xludf.DUMMYFUNCTION("""COMPUTED_VALUE"""),8305000.0)</f>
        <v>8305000</v>
      </c>
      <c r="D95" s="1">
        <f>IFERROR(__xludf.DUMMYFUNCTION("""COMPUTED_VALUE"""),14.1)</f>
        <v>14.1</v>
      </c>
      <c r="E95" s="2">
        <f>IFERROR(__xludf.DUMMYFUNCTION("""COMPUTED_VALUE"""),107720.0)</f>
        <v>107720</v>
      </c>
      <c r="F95" s="2">
        <f>IFERROR(__xludf.DUMMYFUNCTION("""COMPUTED_VALUE"""),29000.0)</f>
        <v>29000</v>
      </c>
    </row>
    <row r="96">
      <c r="A96" s="1" t="str">
        <f>IFERROR(__xludf.DUMMYFUNCTION("""COMPUTED_VALUE"""),"Hong Kong SAR, China")</f>
        <v>Hong Kong SAR, China</v>
      </c>
      <c r="B96" s="2">
        <f>IFERROR(__xludf.DUMMYFUNCTION("""COMPUTED_VALUE"""),265000.0)</f>
        <v>265000</v>
      </c>
      <c r="C96" s="2">
        <f>IFERROR(__xludf.DUMMYFUNCTION("""COMPUTED_VALUE"""),7402000.0)</f>
        <v>7402000</v>
      </c>
      <c r="D96" s="1">
        <f>IFERROR(__xludf.DUMMYFUNCTION("""COMPUTED_VALUE"""),3.6)</f>
        <v>3.6</v>
      </c>
      <c r="E96" s="1" t="str">
        <f>IFERROR(__xludf.DUMMYFUNCTION("""COMPUTED_VALUE"""),"-")</f>
        <v>-</v>
      </c>
      <c r="F96" s="2">
        <f>IFERROR(__xludf.DUMMYFUNCTION("""COMPUTED_VALUE"""),28000.0)</f>
        <v>28000</v>
      </c>
    </row>
    <row r="97">
      <c r="A97" s="1" t="str">
        <f>IFERROR(__xludf.DUMMYFUNCTION("""COMPUTED_VALUE"""),"Hungary")</f>
        <v>Hungary</v>
      </c>
      <c r="B97" s="2">
        <f>IFERROR(__xludf.DUMMYFUNCTION("""COMPUTED_VALUE"""),1023000.0)</f>
        <v>1023000</v>
      </c>
      <c r="C97" s="2">
        <f>IFERROR(__xludf.DUMMYFUNCTION("""COMPUTED_VALUE"""),9788000.0)</f>
        <v>9788000</v>
      </c>
      <c r="D97" s="1">
        <f>IFERROR(__xludf.DUMMYFUNCTION("""COMPUTED_VALUE"""),10.5)</f>
        <v>10.5</v>
      </c>
      <c r="E97" s="2">
        <f>IFERROR(__xludf.DUMMYFUNCTION("""COMPUTED_VALUE"""),147880.0)</f>
        <v>147880</v>
      </c>
      <c r="F97" s="2">
        <f>IFERROR(__xludf.DUMMYFUNCTION("""COMPUTED_VALUE"""),17000.0)</f>
        <v>17000</v>
      </c>
    </row>
    <row r="98">
      <c r="A98" s="1" t="str">
        <f>IFERROR(__xludf.DUMMYFUNCTION("""COMPUTED_VALUE"""),"Iceland")</f>
        <v>Iceland</v>
      </c>
      <c r="B98" s="2">
        <f>IFERROR(__xludf.DUMMYFUNCTION("""COMPUTED_VALUE"""),106000.0)</f>
        <v>106000</v>
      </c>
      <c r="C98" s="2">
        <f>IFERROR(__xludf.DUMMYFUNCTION("""COMPUTED_VALUE"""),334000.0)</f>
        <v>334000</v>
      </c>
      <c r="D98" s="1">
        <f>IFERROR(__xludf.DUMMYFUNCTION("""COMPUTED_VALUE"""),31.7)</f>
        <v>31.7</v>
      </c>
      <c r="E98" s="1">
        <f>IFERROR(__xludf.DUMMYFUNCTION("""COMPUTED_VALUE"""),650.0)</f>
        <v>650</v>
      </c>
      <c r="F98" s="1">
        <f>IFERROR(__xludf.DUMMYFUNCTION("""COMPUTED_VALUE"""),590.0)</f>
        <v>590</v>
      </c>
    </row>
    <row r="99">
      <c r="A99" s="1" t="str">
        <f>IFERROR(__xludf.DUMMYFUNCTION("""COMPUTED_VALUE"""),"India")</f>
        <v>India</v>
      </c>
      <c r="B99" s="2">
        <f>IFERROR(__xludf.DUMMYFUNCTION("""COMPUTED_VALUE"""),7.1101E7)</f>
        <v>71101000</v>
      </c>
      <c r="C99" s="2">
        <f>IFERROR(__xludf.DUMMYFUNCTION("""COMPUTED_VALUE"""),1.342513E9)</f>
        <v>1342513000</v>
      </c>
      <c r="D99" s="1">
        <f>IFERROR(__xludf.DUMMYFUNCTION("""COMPUTED_VALUE"""),5.3)</f>
        <v>5.3</v>
      </c>
      <c r="E99" s="2">
        <f>IFERROR(__xludf.DUMMYFUNCTION("""COMPUTED_VALUE"""),3900000.0)</f>
        <v>3900000</v>
      </c>
      <c r="F99" s="2">
        <f>IFERROR(__xludf.DUMMYFUNCTION("""COMPUTED_VALUE"""),1700000.0)</f>
        <v>1700000</v>
      </c>
    </row>
    <row r="100">
      <c r="A100" s="1" t="str">
        <f>IFERROR(__xludf.DUMMYFUNCTION("""COMPUTED_VALUE"""),"Indonesia")</f>
        <v>Indonesia</v>
      </c>
      <c r="B100" s="2">
        <f>IFERROR(__xludf.DUMMYFUNCTION("""COMPUTED_VALUE"""),82000.0)</f>
        <v>82000</v>
      </c>
      <c r="C100" s="2">
        <f>IFERROR(__xludf.DUMMYFUNCTION("""COMPUTED_VALUE"""),2.6351E8)</f>
        <v>263510000</v>
      </c>
      <c r="D100" s="1">
        <f>IFERROR(__xludf.DUMMYFUNCTION("""COMPUTED_VALUE"""),0.0)</f>
        <v>0</v>
      </c>
      <c r="E100" s="2">
        <f>IFERROR(__xludf.DUMMYFUNCTION("""COMPUTED_VALUE"""),1711450.0)</f>
        <v>1711450</v>
      </c>
      <c r="F100" s="2">
        <f>IFERROR(__xludf.DUMMYFUNCTION("""COMPUTED_VALUE"""),429000.0)</f>
        <v>429000</v>
      </c>
    </row>
    <row r="101">
      <c r="A101" s="1" t="str">
        <f>IFERROR(__xludf.DUMMYFUNCTION("""COMPUTED_VALUE"""),"Iran, Islamic Republic of")</f>
        <v>Iran, Islamic Republic of</v>
      </c>
      <c r="B101" s="2">
        <f>IFERROR(__xludf.DUMMYFUNCTION("""COMPUTED_VALUE"""),5890000.0)</f>
        <v>5890000</v>
      </c>
      <c r="C101" s="2">
        <f>IFERROR(__xludf.DUMMYFUNCTION("""COMPUTED_VALUE"""),8.0946E7)</f>
        <v>80946000</v>
      </c>
      <c r="D101" s="1">
        <f>IFERROR(__xludf.DUMMYFUNCTION("""COMPUTED_VALUE"""),7.3)</f>
        <v>7.3</v>
      </c>
      <c r="E101" s="2">
        <f>IFERROR(__xludf.DUMMYFUNCTION("""COMPUTED_VALUE"""),3333550.0)</f>
        <v>3333550</v>
      </c>
      <c r="F101" s="2">
        <f>IFERROR(__xludf.DUMMYFUNCTION("""COMPUTED_VALUE"""),98000.0)</f>
        <v>98000</v>
      </c>
    </row>
    <row r="102">
      <c r="A102" s="1" t="str">
        <f>IFERROR(__xludf.DUMMYFUNCTION("""COMPUTED_VALUE"""),"Iraq")</f>
        <v>Iraq</v>
      </c>
      <c r="B102" s="2">
        <f>IFERROR(__xludf.DUMMYFUNCTION("""COMPUTED_VALUE"""),7588000.0)</f>
        <v>7588000</v>
      </c>
      <c r="C102" s="2">
        <f>IFERROR(__xludf.DUMMYFUNCTION("""COMPUTED_VALUE"""),3.8654E7)</f>
        <v>38654000</v>
      </c>
      <c r="D102" s="1">
        <f>IFERROR(__xludf.DUMMYFUNCTION("""COMPUTED_VALUE"""),19.6)</f>
        <v>19.6</v>
      </c>
      <c r="E102" s="2">
        <f>IFERROR(__xludf.DUMMYFUNCTION("""COMPUTED_VALUE"""),611000.0)</f>
        <v>611000</v>
      </c>
      <c r="F102" s="2">
        <f>IFERROR(__xludf.DUMMYFUNCTION("""COMPUTED_VALUE"""),56000.0)</f>
        <v>56000</v>
      </c>
    </row>
    <row r="103">
      <c r="A103" s="1" t="str">
        <f>IFERROR(__xludf.DUMMYFUNCTION("""COMPUTED_VALUE"""),"Ireland")</f>
        <v>Ireland</v>
      </c>
      <c r="B103" s="2">
        <f>IFERROR(__xludf.DUMMYFUNCTION("""COMPUTED_VALUE"""),342000.0)</f>
        <v>342000</v>
      </c>
      <c r="C103" s="2">
        <f>IFERROR(__xludf.DUMMYFUNCTION("""COMPUTED_VALUE"""),4749000.0)</f>
        <v>4749000</v>
      </c>
      <c r="D103" s="1">
        <f>IFERROR(__xludf.DUMMYFUNCTION("""COMPUTED_VALUE"""),7.2)</f>
        <v>7.2</v>
      </c>
      <c r="E103" s="2">
        <f>IFERROR(__xludf.DUMMYFUNCTION("""COMPUTED_VALUE"""),26636.0)</f>
        <v>26636</v>
      </c>
      <c r="F103" s="2">
        <f>IFERROR(__xludf.DUMMYFUNCTION("""COMPUTED_VALUE"""),3000.0)</f>
        <v>3000</v>
      </c>
    </row>
    <row r="104">
      <c r="A104" s="1" t="str">
        <f>IFERROR(__xludf.DUMMYFUNCTION("""COMPUTED_VALUE"""),"Israel")</f>
        <v>Israel</v>
      </c>
      <c r="B104" s="2">
        <f>IFERROR(__xludf.DUMMYFUNCTION("""COMPUTED_VALUE"""),557000.0)</f>
        <v>557000</v>
      </c>
      <c r="C104" s="2">
        <f>IFERROR(__xludf.DUMMYFUNCTION("""COMPUTED_VALUE"""),8323000.0)</f>
        <v>8323000</v>
      </c>
      <c r="D104" s="1">
        <f>IFERROR(__xludf.DUMMYFUNCTION("""COMPUTED_VALUE"""),6.7)</f>
        <v>6.7</v>
      </c>
      <c r="E104" s="2">
        <f>IFERROR(__xludf.DUMMYFUNCTION("""COMPUTED_VALUE"""),1016900.0)</f>
        <v>1016900</v>
      </c>
      <c r="F104" s="2">
        <f>IFERROR(__xludf.DUMMYFUNCTION("""COMPUTED_VALUE"""),41000.0)</f>
        <v>41000</v>
      </c>
    </row>
    <row r="105">
      <c r="A105" s="1" t="str">
        <f>IFERROR(__xludf.DUMMYFUNCTION("""COMPUTED_VALUE"""),"Italy")</f>
        <v>Italy</v>
      </c>
      <c r="B105" s="2">
        <f>IFERROR(__xludf.DUMMYFUNCTION("""COMPUTED_VALUE"""),8609000.0)</f>
        <v>8609000</v>
      </c>
      <c r="C105" s="2">
        <f>IFERROR(__xludf.DUMMYFUNCTION("""COMPUTED_VALUE"""),5.9798E7)</f>
        <v>59798000</v>
      </c>
      <c r="D105" s="1">
        <f>IFERROR(__xludf.DUMMYFUNCTION("""COMPUTED_VALUE"""),14.4)</f>
        <v>14.4</v>
      </c>
      <c r="E105" s="2">
        <f>IFERROR(__xludf.DUMMYFUNCTION("""COMPUTED_VALUE"""),502960.0)</f>
        <v>502960</v>
      </c>
      <c r="F105" s="2">
        <f>IFERROR(__xludf.DUMMYFUNCTION("""COMPUTED_VALUE"""),273000.0)</f>
        <v>273000</v>
      </c>
    </row>
    <row r="106">
      <c r="A106" s="1" t="str">
        <f>IFERROR(__xludf.DUMMYFUNCTION("""COMPUTED_VALUE"""),"Jamaica")</f>
        <v>Jamaica</v>
      </c>
      <c r="B106" s="2">
        <f>IFERROR(__xludf.DUMMYFUNCTION("""COMPUTED_VALUE"""),246000.0)</f>
        <v>246000</v>
      </c>
      <c r="C106" s="2">
        <f>IFERROR(__xludf.DUMMYFUNCTION("""COMPUTED_VALUE"""),2813000.0)</f>
        <v>2813000</v>
      </c>
      <c r="D106" s="1">
        <f>IFERROR(__xludf.DUMMYFUNCTION("""COMPUTED_VALUE"""),8.8)</f>
        <v>8.8</v>
      </c>
      <c r="E106" s="2">
        <f>IFERROR(__xludf.DUMMYFUNCTION("""COMPUTED_VALUE"""),8681.0)</f>
        <v>8681</v>
      </c>
      <c r="F106" s="2">
        <f>IFERROR(__xludf.DUMMYFUNCTION("""COMPUTED_VALUE"""),12000.0)</f>
        <v>12000</v>
      </c>
    </row>
    <row r="107">
      <c r="A107" s="1" t="str">
        <f>IFERROR(__xludf.DUMMYFUNCTION("""COMPUTED_VALUE"""),"Japan")</f>
        <v>Japan</v>
      </c>
      <c r="B107" s="2">
        <f>IFERROR(__xludf.DUMMYFUNCTION("""COMPUTED_VALUE"""),377000.0)</f>
        <v>377000</v>
      </c>
      <c r="C107" s="2">
        <f>IFERROR(__xludf.DUMMYFUNCTION("""COMPUTED_VALUE"""),1.26045E8)</f>
        <v>126045000</v>
      </c>
      <c r="D107" s="1">
        <f>IFERROR(__xludf.DUMMYFUNCTION("""COMPUTED_VALUE"""),0.3)</f>
        <v>0.3</v>
      </c>
      <c r="E107" s="2">
        <f>IFERROR(__xludf.DUMMYFUNCTION("""COMPUTED_VALUE"""),745514.0)</f>
        <v>745514</v>
      </c>
      <c r="F107" s="2">
        <f>IFERROR(__xludf.DUMMYFUNCTION("""COMPUTED_VALUE"""),252000.0)</f>
        <v>252000</v>
      </c>
    </row>
    <row r="108">
      <c r="A108" s="1" t="str">
        <f>IFERROR(__xludf.DUMMYFUNCTION("""COMPUTED_VALUE"""),"Jordan")</f>
        <v>Jordan</v>
      </c>
      <c r="B108" s="2">
        <f>IFERROR(__xludf.DUMMYFUNCTION("""COMPUTED_VALUE"""),1473000.0)</f>
        <v>1473000</v>
      </c>
      <c r="C108" s="2">
        <f>IFERROR(__xludf.DUMMYFUNCTION("""COMPUTED_VALUE"""),7877000.0)</f>
        <v>7877000</v>
      </c>
      <c r="D108" s="1">
        <f>IFERROR(__xludf.DUMMYFUNCTION("""COMPUTED_VALUE"""),18.7)</f>
        <v>18.7</v>
      </c>
      <c r="E108" s="2">
        <f>IFERROR(__xludf.DUMMYFUNCTION("""COMPUTED_VALUE"""),286450.0)</f>
        <v>286450</v>
      </c>
      <c r="F108" s="2">
        <f>IFERROR(__xludf.DUMMYFUNCTION("""COMPUTED_VALUE"""),60000.0)</f>
        <v>60000</v>
      </c>
    </row>
    <row r="109">
      <c r="A109" s="1" t="str">
        <f>IFERROR(__xludf.DUMMYFUNCTION("""COMPUTED_VALUE"""),"Kazakhstan")</f>
        <v>Kazakhstan</v>
      </c>
      <c r="B109" s="2">
        <f>IFERROR(__xludf.DUMMYFUNCTION("""COMPUTED_VALUE"""),504000.0)</f>
        <v>504000</v>
      </c>
      <c r="C109" s="2">
        <f>IFERROR(__xludf.DUMMYFUNCTION("""COMPUTED_VALUE"""),1.8064E7)</f>
        <v>18064000</v>
      </c>
      <c r="D109" s="1">
        <f>IFERROR(__xludf.DUMMYFUNCTION("""COMPUTED_VALUE"""),2.8)</f>
        <v>2.8</v>
      </c>
      <c r="E109" s="2">
        <f>IFERROR(__xludf.DUMMYFUNCTION("""COMPUTED_VALUE"""),375690.0)</f>
        <v>375690</v>
      </c>
      <c r="F109" s="2">
        <f>IFERROR(__xludf.DUMMYFUNCTION("""COMPUTED_VALUE"""),65000.0)</f>
        <v>65000</v>
      </c>
    </row>
    <row r="110">
      <c r="A110" s="1" t="str">
        <f>IFERROR(__xludf.DUMMYFUNCTION("""COMPUTED_VALUE"""),"Kenya")</f>
        <v>Kenya</v>
      </c>
      <c r="B110" s="2">
        <f>IFERROR(__xludf.DUMMYFUNCTION("""COMPUTED_VALUE"""),750000.0)</f>
        <v>750000</v>
      </c>
      <c r="C110" s="2">
        <f>IFERROR(__xludf.DUMMYFUNCTION("""COMPUTED_VALUE"""),4.8467E7)</f>
        <v>48467000</v>
      </c>
      <c r="D110" s="1">
        <f>IFERROR(__xludf.DUMMYFUNCTION("""COMPUTED_VALUE"""),1.5)</f>
        <v>1.5</v>
      </c>
      <c r="E110" s="2">
        <f>IFERROR(__xludf.DUMMYFUNCTION("""COMPUTED_VALUE"""),45790.0)</f>
        <v>45790</v>
      </c>
      <c r="F110" s="2">
        <f>IFERROR(__xludf.DUMMYFUNCTION("""COMPUTED_VALUE"""),51527.0)</f>
        <v>51527</v>
      </c>
    </row>
    <row r="111">
      <c r="A111" s="1" t="str">
        <f>IFERROR(__xludf.DUMMYFUNCTION("""COMPUTED_VALUE"""),"Kiribati")</f>
        <v>Kiribati</v>
      </c>
      <c r="B111" s="1">
        <f>IFERROR(__xludf.DUMMYFUNCTION("""COMPUTED_VALUE"""),900.0)</f>
        <v>900</v>
      </c>
      <c r="C111" s="2">
        <f>IFERROR(__xludf.DUMMYFUNCTION("""COMPUTED_VALUE"""),116000.0)</f>
        <v>116000</v>
      </c>
      <c r="D111" s="1">
        <f>IFERROR(__xludf.DUMMYFUNCTION("""COMPUTED_VALUE"""),0.8)</f>
        <v>0.8</v>
      </c>
      <c r="E111" s="1" t="str">
        <f>IFERROR(__xludf.DUMMYFUNCTION("""COMPUTED_VALUE"""),"-")</f>
        <v>-</v>
      </c>
      <c r="F111" s="1">
        <f>IFERROR(__xludf.DUMMYFUNCTION("""COMPUTED_VALUE"""),200.0)</f>
        <v>200</v>
      </c>
    </row>
    <row r="112">
      <c r="A112" s="1" t="str">
        <f>IFERROR(__xludf.DUMMYFUNCTION("""COMPUTED_VALUE"""),"Korea, DPR (North)")</f>
        <v>Korea, DPR (North)</v>
      </c>
      <c r="B112" s="2">
        <f>IFERROR(__xludf.DUMMYFUNCTION("""COMPUTED_VALUE"""),76000.0)</f>
        <v>76000</v>
      </c>
      <c r="C112" s="2">
        <f>IFERROR(__xludf.DUMMYFUNCTION("""COMPUTED_VALUE"""),2.5405E7)</f>
        <v>25405000</v>
      </c>
      <c r="D112" s="1">
        <f>IFERROR(__xludf.DUMMYFUNCTION("""COMPUTED_VALUE"""),0.3)</f>
        <v>0.3</v>
      </c>
      <c r="E112" s="2">
        <f>IFERROR(__xludf.DUMMYFUNCTION("""COMPUTED_VALUE"""),8363100.0)</f>
        <v>8363100</v>
      </c>
      <c r="F112" s="2">
        <f>IFERROR(__xludf.DUMMYFUNCTION("""COMPUTED_VALUE"""),76000.0)</f>
        <v>76000</v>
      </c>
    </row>
    <row r="113">
      <c r="A113" s="1" t="str">
        <f>IFERROR(__xludf.DUMMYFUNCTION("""COMPUTED_VALUE"""),"Korea, Republic of (South)")</f>
        <v>Korea, Republic of (South)</v>
      </c>
      <c r="B113" s="2">
        <f>IFERROR(__xludf.DUMMYFUNCTION("""COMPUTED_VALUE"""),79000.0)</f>
        <v>79000</v>
      </c>
      <c r="C113" s="2">
        <f>IFERROR(__xludf.DUMMYFUNCTION("""COMPUTED_VALUE"""),5.0705E7)</f>
        <v>50705000</v>
      </c>
      <c r="D113" s="1">
        <f>IFERROR(__xludf.DUMMYFUNCTION("""COMPUTED_VALUE"""),0.2)</f>
        <v>0.2</v>
      </c>
      <c r="E113" s="2">
        <f>IFERROR(__xludf.DUMMYFUNCTION("""COMPUTED_VALUE"""),2688020.0)</f>
        <v>2688020</v>
      </c>
      <c r="F113" s="2">
        <f>IFERROR(__xludf.DUMMYFUNCTION("""COMPUTED_VALUE"""),115000.0)</f>
        <v>115000</v>
      </c>
    </row>
    <row r="114">
      <c r="A114" s="1" t="str">
        <f>IFERROR(__xludf.DUMMYFUNCTION("""COMPUTED_VALUE"""),"Kosovo")</f>
        <v>Kosovo</v>
      </c>
      <c r="B114" s="2">
        <f>IFERROR(__xludf.DUMMYFUNCTION("""COMPUTED_VALUE"""),436000.0)</f>
        <v>436000</v>
      </c>
      <c r="C114" s="2">
        <f>IFERROR(__xludf.DUMMYFUNCTION("""COMPUTED_VALUE"""),1831000.0)</f>
        <v>1831000</v>
      </c>
      <c r="D114" s="1">
        <f>IFERROR(__xludf.DUMMYFUNCTION("""COMPUTED_VALUE"""),23.8)</f>
        <v>23.8</v>
      </c>
      <c r="E114" s="2">
        <f>IFERROR(__xludf.DUMMYFUNCTION("""COMPUTED_VALUE"""),9500.0)</f>
        <v>9500</v>
      </c>
      <c r="F114" s="2">
        <f>IFERROR(__xludf.DUMMYFUNCTION("""COMPUTED_VALUE"""),21000.0)</f>
        <v>21000</v>
      </c>
    </row>
    <row r="115">
      <c r="A115" s="1" t="str">
        <f>IFERROR(__xludf.DUMMYFUNCTION("""COMPUTED_VALUE"""),"Kuwait")</f>
        <v>Kuwait</v>
      </c>
      <c r="B115" s="2">
        <f>IFERROR(__xludf.DUMMYFUNCTION("""COMPUTED_VALUE"""),685000.0)</f>
        <v>685000</v>
      </c>
      <c r="C115" s="2">
        <f>IFERROR(__xludf.DUMMYFUNCTION("""COMPUTED_VALUE"""),4100000.0)</f>
        <v>4100000</v>
      </c>
      <c r="D115" s="1">
        <f>IFERROR(__xludf.DUMMYFUNCTION("""COMPUTED_VALUE"""),16.7)</f>
        <v>16.7</v>
      </c>
      <c r="E115" s="2">
        <f>IFERROR(__xludf.DUMMYFUNCTION("""COMPUTED_VALUE"""),82580.0)</f>
        <v>82580</v>
      </c>
      <c r="F115" s="2">
        <f>IFERROR(__xludf.DUMMYFUNCTION("""COMPUTED_VALUE"""),11000.0)</f>
        <v>11000</v>
      </c>
    </row>
    <row r="116">
      <c r="A116" s="1" t="str">
        <f>IFERROR(__xludf.DUMMYFUNCTION("""COMPUTED_VALUE"""),"Kyrgyzstan")</f>
        <v>Kyrgyzstan</v>
      </c>
      <c r="B116" s="2">
        <f>IFERROR(__xludf.DUMMYFUNCTION("""COMPUTED_VALUE"""),171000.0)</f>
        <v>171000</v>
      </c>
      <c r="C116" s="2">
        <f>IFERROR(__xludf.DUMMYFUNCTION("""COMPUTED_VALUE"""),6125000.0)</f>
        <v>6125000</v>
      </c>
      <c r="D116" s="1">
        <f>IFERROR(__xludf.DUMMYFUNCTION("""COMPUTED_VALUE"""),2.8)</f>
        <v>2.8</v>
      </c>
      <c r="E116" s="2">
        <f>IFERROR(__xludf.DUMMYFUNCTION("""COMPUTED_VALUE"""),145010.0)</f>
        <v>145010</v>
      </c>
      <c r="F116" s="2">
        <f>IFERROR(__xludf.DUMMYFUNCTION("""COMPUTED_VALUE"""),18000.0)</f>
        <v>18000</v>
      </c>
    </row>
    <row r="117">
      <c r="A117" s="1" t="str">
        <f>IFERROR(__xludf.DUMMYFUNCTION("""COMPUTED_VALUE"""),"Lao, People's Democratic Republic")</f>
        <v>Lao, People's Democratic Republic</v>
      </c>
      <c r="B117" s="2">
        <f>IFERROR(__xludf.DUMMYFUNCTION("""COMPUTED_VALUE"""),215000.0)</f>
        <v>215000</v>
      </c>
      <c r="C117" s="2">
        <f>IFERROR(__xludf.DUMMYFUNCTION("""COMPUTED_VALUE"""),7038000.0)</f>
        <v>7038000</v>
      </c>
      <c r="D117" s="1">
        <f>IFERROR(__xludf.DUMMYFUNCTION("""COMPUTED_VALUE"""),3.0)</f>
        <v>3</v>
      </c>
      <c r="E117" s="2">
        <f>IFERROR(__xludf.DUMMYFUNCTION("""COMPUTED_VALUE"""),224690.0)</f>
        <v>224690</v>
      </c>
      <c r="F117" s="2">
        <f>IFERROR(__xludf.DUMMYFUNCTION("""COMPUTED_VALUE"""),21000.0)</f>
        <v>21000</v>
      </c>
    </row>
    <row r="118">
      <c r="A118" s="1" t="str">
        <f>IFERROR(__xludf.DUMMYFUNCTION("""COMPUTED_VALUE"""),"Latvia")</f>
        <v>Latvia</v>
      </c>
      <c r="B118" s="2">
        <f>IFERROR(__xludf.DUMMYFUNCTION("""COMPUTED_VALUE"""),205000.0)</f>
        <v>205000</v>
      </c>
      <c r="C118" s="2">
        <f>IFERROR(__xludf.DUMMYFUNCTION("""COMPUTED_VALUE"""),1945000.0)</f>
        <v>1945000</v>
      </c>
      <c r="D118" s="1">
        <f>IFERROR(__xludf.DUMMYFUNCTION("""COMPUTED_VALUE"""),10.5)</f>
        <v>10.5</v>
      </c>
      <c r="E118" s="2">
        <f>IFERROR(__xludf.DUMMYFUNCTION("""COMPUTED_VALUE"""),27936.0)</f>
        <v>27936</v>
      </c>
      <c r="F118" s="2">
        <f>IFERROR(__xludf.DUMMYFUNCTION("""COMPUTED_VALUE"""),17000.0)</f>
        <v>17000</v>
      </c>
    </row>
    <row r="119">
      <c r="A119" s="1" t="str">
        <f>IFERROR(__xludf.DUMMYFUNCTION("""COMPUTED_VALUE"""),"Lebanon")</f>
        <v>Lebanon</v>
      </c>
      <c r="B119" s="2">
        <f>IFERROR(__xludf.DUMMYFUNCTION("""COMPUTED_VALUE"""),1927000.0)</f>
        <v>1927000</v>
      </c>
      <c r="C119" s="2">
        <f>IFERROR(__xludf.DUMMYFUNCTION("""COMPUTED_VALUE"""),6039000.0)</f>
        <v>6039000</v>
      </c>
      <c r="D119" s="1">
        <f>IFERROR(__xludf.DUMMYFUNCTION("""COMPUTED_VALUE"""),31.9)</f>
        <v>31.9</v>
      </c>
      <c r="E119" s="2">
        <f>IFERROR(__xludf.DUMMYFUNCTION("""COMPUTED_VALUE"""),130150.0)</f>
        <v>130150</v>
      </c>
      <c r="F119" s="2">
        <f>IFERROR(__xludf.DUMMYFUNCTION("""COMPUTED_VALUE"""),41000.0)</f>
        <v>41000</v>
      </c>
    </row>
    <row r="120">
      <c r="A120" s="1" t="str">
        <f>IFERROR(__xludf.DUMMYFUNCTION("""COMPUTED_VALUE"""),"Lesotho")</f>
        <v>Lesotho</v>
      </c>
      <c r="B120" s="2">
        <f>IFERROR(__xludf.DUMMYFUNCTION("""COMPUTED_VALUE"""),105000.0)</f>
        <v>105000</v>
      </c>
      <c r="C120" s="2">
        <f>IFERROR(__xludf.DUMMYFUNCTION("""COMPUTED_VALUE"""),2185000.0)</f>
        <v>2185000</v>
      </c>
      <c r="D120" s="1">
        <f>IFERROR(__xludf.DUMMYFUNCTION("""COMPUTED_VALUE"""),4.8)</f>
        <v>4.8</v>
      </c>
      <c r="E120" s="2">
        <f>IFERROR(__xludf.DUMMYFUNCTION("""COMPUTED_VALUE"""),2400.0)</f>
        <v>2400</v>
      </c>
      <c r="F120" s="2">
        <f>IFERROR(__xludf.DUMMYFUNCTION("""COMPUTED_VALUE"""),5000.0)</f>
        <v>5000</v>
      </c>
    </row>
    <row r="121">
      <c r="A121" s="1" t="str">
        <f>IFERROR(__xludf.DUMMYFUNCTION("""COMPUTED_VALUE"""),"Liberia")</f>
        <v>Liberia</v>
      </c>
      <c r="B121" s="2">
        <f>IFERROR(__xludf.DUMMYFUNCTION("""COMPUTED_VALUE"""),97000.0)</f>
        <v>97000</v>
      </c>
      <c r="C121" s="2">
        <f>IFERROR(__xludf.DUMMYFUNCTION("""COMPUTED_VALUE"""),4730000.0)</f>
        <v>4730000</v>
      </c>
      <c r="D121" s="1">
        <f>IFERROR(__xludf.DUMMYFUNCTION("""COMPUTED_VALUE"""),2.1)</f>
        <v>2.1</v>
      </c>
      <c r="E121" s="2">
        <f>IFERROR(__xludf.DUMMYFUNCTION("""COMPUTED_VALUE"""),2520.0)</f>
        <v>2520</v>
      </c>
      <c r="F121" s="2">
        <f>IFERROR(__xludf.DUMMYFUNCTION("""COMPUTED_VALUE"""),5000.0)</f>
        <v>5000</v>
      </c>
    </row>
    <row r="122">
      <c r="A122" s="1" t="str">
        <f>IFERROR(__xludf.DUMMYFUNCTION("""COMPUTED_VALUE"""),"Libya")</f>
        <v>Libya</v>
      </c>
      <c r="B122" s="2">
        <f>IFERROR(__xludf.DUMMYFUNCTION("""COMPUTED_VALUE"""),851000.0)</f>
        <v>851000</v>
      </c>
      <c r="C122" s="2">
        <f>IFERROR(__xludf.DUMMYFUNCTION("""COMPUTED_VALUE"""),6409000.0)</f>
        <v>6409000</v>
      </c>
      <c r="D122" s="1">
        <f>IFERROR(__xludf.DUMMYFUNCTION("""COMPUTED_VALUE"""),13.3)</f>
        <v>13.3</v>
      </c>
      <c r="E122" s="1" t="str">
        <f>IFERROR(__xludf.DUMMYFUNCTION("""COMPUTED_VALUE"""),"-")</f>
        <v>-</v>
      </c>
      <c r="F122" s="1" t="str">
        <f>IFERROR(__xludf.DUMMYFUNCTION("""COMPUTED_VALUE"""),"-")</f>
        <v>-</v>
      </c>
    </row>
    <row r="123">
      <c r="A123" s="1" t="str">
        <f>IFERROR(__xludf.DUMMYFUNCTION("""COMPUTED_VALUE"""),"Liechtenstein")</f>
        <v>Liechtenstein</v>
      </c>
      <c r="B123" s="2">
        <f>IFERROR(__xludf.DUMMYFUNCTION("""COMPUTED_VALUE"""),11000.0)</f>
        <v>11000</v>
      </c>
      <c r="C123" s="2">
        <f>IFERROR(__xludf.DUMMYFUNCTION("""COMPUTED_VALUE"""),38000.0)</f>
        <v>38000</v>
      </c>
      <c r="D123" s="1">
        <f>IFERROR(__xludf.DUMMYFUNCTION("""COMPUTED_VALUE"""),28.8)</f>
        <v>28.8</v>
      </c>
      <c r="E123" s="1" t="str">
        <f>IFERROR(__xludf.DUMMYFUNCTION("""COMPUTED_VALUE"""),"-")</f>
        <v>-</v>
      </c>
      <c r="F123" s="1">
        <f>IFERROR(__xludf.DUMMYFUNCTION("""COMPUTED_VALUE"""),200.0)</f>
        <v>200</v>
      </c>
    </row>
    <row r="124">
      <c r="A124" s="1" t="str">
        <f>IFERROR(__xludf.DUMMYFUNCTION("""COMPUTED_VALUE"""),"Lithuania")</f>
        <v>Lithuania</v>
      </c>
      <c r="B124" s="2">
        <f>IFERROR(__xludf.DUMMYFUNCTION("""COMPUTED_VALUE"""),385000.0)</f>
        <v>385000</v>
      </c>
      <c r="C124" s="2">
        <f>IFERROR(__xludf.DUMMYFUNCTION("""COMPUTED_VALUE"""),2831000.0)</f>
        <v>2831000</v>
      </c>
      <c r="D124" s="1">
        <f>IFERROR(__xludf.DUMMYFUNCTION("""COMPUTED_VALUE"""),13.6)</f>
        <v>13.6</v>
      </c>
      <c r="E124" s="2">
        <f>IFERROR(__xludf.DUMMYFUNCTION("""COMPUTED_VALUE"""),81240.0)</f>
        <v>81240</v>
      </c>
      <c r="F124" s="2">
        <f>IFERROR(__xludf.DUMMYFUNCTION("""COMPUTED_VALUE"""),17000.0)</f>
        <v>17000</v>
      </c>
    </row>
    <row r="125">
      <c r="A125" s="1" t="str">
        <f>IFERROR(__xludf.DUMMYFUNCTION("""COMPUTED_VALUE"""),"Luxembourg")</f>
        <v>Luxembourg</v>
      </c>
      <c r="B125" s="2">
        <f>IFERROR(__xludf.DUMMYFUNCTION("""COMPUTED_VALUE"""),110000.0)</f>
        <v>110000</v>
      </c>
      <c r="C125" s="2">
        <f>IFERROR(__xludf.DUMMYFUNCTION("""COMPUTED_VALUE"""),584000.0)</f>
        <v>584000</v>
      </c>
      <c r="D125" s="1">
        <f>IFERROR(__xludf.DUMMYFUNCTION("""COMPUTED_VALUE"""),18.9)</f>
        <v>18.9</v>
      </c>
      <c r="E125" s="2">
        <f>IFERROR(__xludf.DUMMYFUNCTION("""COMPUTED_VALUE"""),2340.0)</f>
        <v>2340</v>
      </c>
      <c r="F125" s="2">
        <f>IFERROR(__xludf.DUMMYFUNCTION("""COMPUTED_VALUE"""),5000.0)</f>
        <v>5000</v>
      </c>
    </row>
    <row r="126">
      <c r="A126" s="1" t="str">
        <f>IFERROR(__xludf.DUMMYFUNCTION("""COMPUTED_VALUE"""),"Macedonia, Former Yugoslav Republic of")</f>
        <v>Macedonia, Former Yugoslav Republic of</v>
      </c>
      <c r="B126" s="2">
        <f>IFERROR(__xludf.DUMMYFUNCTION("""COMPUTED_VALUE"""),621000.0)</f>
        <v>621000</v>
      </c>
      <c r="C126" s="2">
        <f>IFERROR(__xludf.DUMMYFUNCTION("""COMPUTED_VALUE"""),2083000.0)</f>
        <v>2083000</v>
      </c>
      <c r="D126" s="1">
        <f>IFERROR(__xludf.DUMMYFUNCTION("""COMPUTED_VALUE"""),29.8)</f>
        <v>29.8</v>
      </c>
      <c r="E126" s="2">
        <f>IFERROR(__xludf.DUMMYFUNCTION("""COMPUTED_VALUE"""),29530.0)</f>
        <v>29530</v>
      </c>
      <c r="F126" s="2">
        <f>IFERROR(__xludf.DUMMYFUNCTION("""COMPUTED_VALUE"""),21000.0)</f>
        <v>21000</v>
      </c>
    </row>
    <row r="127">
      <c r="A127" s="1" t="str">
        <f>IFERROR(__xludf.DUMMYFUNCTION("""COMPUTED_VALUE"""),"Madagascar")</f>
        <v>Madagascar</v>
      </c>
      <c r="B127" s="2">
        <f>IFERROR(__xludf.DUMMYFUNCTION("""COMPUTED_VALUE"""),168000.0)</f>
        <v>168000</v>
      </c>
      <c r="C127" s="2">
        <f>IFERROR(__xludf.DUMMYFUNCTION("""COMPUTED_VALUE"""),2.5613E7)</f>
        <v>25613000</v>
      </c>
      <c r="D127" s="1">
        <f>IFERROR(__xludf.DUMMYFUNCTION("""COMPUTED_VALUE"""),0.7)</f>
        <v>0.7</v>
      </c>
      <c r="E127" s="2">
        <f>IFERROR(__xludf.DUMMYFUNCTION("""COMPUTED_VALUE"""),25320.0)</f>
        <v>25320</v>
      </c>
      <c r="F127" s="2">
        <f>IFERROR(__xludf.DUMMYFUNCTION("""COMPUTED_VALUE"""),20000.0)</f>
        <v>20000</v>
      </c>
    </row>
    <row r="128">
      <c r="A128" s="1" t="str">
        <f>IFERROR(__xludf.DUMMYFUNCTION("""COMPUTED_VALUE"""),"Malawi")</f>
        <v>Malawi</v>
      </c>
      <c r="B128" s="2">
        <f>IFERROR(__xludf.DUMMYFUNCTION("""COMPUTED_VALUE"""),47000.0)</f>
        <v>47000</v>
      </c>
      <c r="C128" s="2">
        <f>IFERROR(__xludf.DUMMYFUNCTION("""COMPUTED_VALUE"""),1.8299E7)</f>
        <v>18299000</v>
      </c>
      <c r="D128" s="1">
        <f>IFERROR(__xludf.DUMMYFUNCTION("""COMPUTED_VALUE"""),0.3)</f>
        <v>0.3</v>
      </c>
      <c r="E128" s="2">
        <f>IFERROR(__xludf.DUMMYFUNCTION("""COMPUTED_VALUE"""),24480.0)</f>
        <v>24480</v>
      </c>
      <c r="F128" s="2">
        <f>IFERROR(__xludf.DUMMYFUNCTION("""COMPUTED_VALUE"""),8400.0)</f>
        <v>8400</v>
      </c>
    </row>
    <row r="129">
      <c r="A129" s="1" t="str">
        <f>IFERROR(__xludf.DUMMYFUNCTION("""COMPUTED_VALUE"""),"Malaysia")</f>
        <v>Malaysia</v>
      </c>
      <c r="B129" s="2">
        <f>IFERROR(__xludf.DUMMYFUNCTION("""COMPUTED_VALUE"""),217000.0)</f>
        <v>217000</v>
      </c>
      <c r="C129" s="2">
        <f>IFERROR(__xludf.DUMMYFUNCTION("""COMPUTED_VALUE"""),3.1164E7)</f>
        <v>31164000</v>
      </c>
      <c r="D129" s="1">
        <f>IFERROR(__xludf.DUMMYFUNCTION("""COMPUTED_VALUE"""),0.7)</f>
        <v>0.7</v>
      </c>
      <c r="E129" s="2">
        <f>IFERROR(__xludf.DUMMYFUNCTION("""COMPUTED_VALUE"""),428170.0)</f>
        <v>428170</v>
      </c>
      <c r="F129" s="2">
        <f>IFERROR(__xludf.DUMMYFUNCTION("""COMPUTED_VALUE"""),102000.0)</f>
        <v>102000</v>
      </c>
    </row>
    <row r="130">
      <c r="A130" s="1" t="str">
        <f>IFERROR(__xludf.DUMMYFUNCTION("""COMPUTED_VALUE"""),"Maldives")</f>
        <v>Maldives</v>
      </c>
      <c r="B130" s="2">
        <f>IFERROR(__xludf.DUMMYFUNCTION("""COMPUTED_VALUE"""),23000.0)</f>
        <v>23000</v>
      </c>
      <c r="C130" s="2">
        <f>IFERROR(__xludf.DUMMYFUNCTION("""COMPUTED_VALUE"""),376000.0)</f>
        <v>376000</v>
      </c>
      <c r="D130" s="1">
        <f>IFERROR(__xludf.DUMMYFUNCTION("""COMPUTED_VALUE"""),6.2)</f>
        <v>6.2</v>
      </c>
      <c r="E130" s="2">
        <f>IFERROR(__xludf.DUMMYFUNCTION("""COMPUTED_VALUE"""),9500.0)</f>
        <v>9500</v>
      </c>
      <c r="F130" s="2">
        <f>IFERROR(__xludf.DUMMYFUNCTION("""COMPUTED_VALUE"""),3000.0)</f>
        <v>3000</v>
      </c>
    </row>
    <row r="131">
      <c r="A131" s="1" t="str">
        <f>IFERROR(__xludf.DUMMYFUNCTION("""COMPUTED_VALUE"""),"Mali")</f>
        <v>Mali</v>
      </c>
      <c r="B131" s="2">
        <f>IFERROR(__xludf.DUMMYFUNCTION("""COMPUTED_VALUE"""),206000.0)</f>
        <v>206000</v>
      </c>
      <c r="C131" s="2">
        <f>IFERROR(__xludf.DUMMYFUNCTION("""COMPUTED_VALUE"""),1.869E7)</f>
        <v>18690000</v>
      </c>
      <c r="D131" s="1">
        <f>IFERROR(__xludf.DUMMYFUNCTION("""COMPUTED_VALUE"""),1.1)</f>
        <v>1.1</v>
      </c>
      <c r="E131" s="2">
        <f>IFERROR(__xludf.DUMMYFUNCTION("""COMPUTED_VALUE"""),15800.0)</f>
        <v>15800</v>
      </c>
      <c r="F131" s="2">
        <f>IFERROR(__xludf.DUMMYFUNCTION("""COMPUTED_VALUE"""),3000.0)</f>
        <v>3000</v>
      </c>
    </row>
    <row r="132">
      <c r="A132" s="1" t="str">
        <f>IFERROR(__xludf.DUMMYFUNCTION("""COMPUTED_VALUE"""),"Malta")</f>
        <v>Malta</v>
      </c>
      <c r="B132" s="2">
        <f>IFERROR(__xludf.DUMMYFUNCTION("""COMPUTED_VALUE"""),119000.0)</f>
        <v>119000</v>
      </c>
      <c r="C132" s="2">
        <f>IFERROR(__xludf.DUMMYFUNCTION("""COMPUTED_VALUE"""),421000.0)</f>
        <v>421000</v>
      </c>
      <c r="D132" s="1">
        <f>IFERROR(__xludf.DUMMYFUNCTION("""COMPUTED_VALUE"""),28.3)</f>
        <v>28.3</v>
      </c>
      <c r="E132" s="2">
        <f>IFERROR(__xludf.DUMMYFUNCTION("""COMPUTED_VALUE"""),5547.0)</f>
        <v>5547</v>
      </c>
      <c r="F132" s="2">
        <f>IFERROR(__xludf.DUMMYFUNCTION("""COMPUTED_VALUE"""),1637.0)</f>
        <v>1637</v>
      </c>
    </row>
    <row r="133">
      <c r="A133" s="1" t="str">
        <f>IFERROR(__xludf.DUMMYFUNCTION("""COMPUTED_VALUE"""),"Marshall Islands")</f>
        <v>Marshall Islands</v>
      </c>
      <c r="B133" s="1">
        <f>IFERROR(__xludf.DUMMYFUNCTION("""COMPUTED_VALUE"""),300.0)</f>
        <v>300</v>
      </c>
      <c r="C133" s="2">
        <f>IFERROR(__xludf.DUMMYFUNCTION("""COMPUTED_VALUE"""),53000.0)</f>
        <v>53000</v>
      </c>
      <c r="D133" s="1">
        <f>IFERROR(__xludf.DUMMYFUNCTION("""COMPUTED_VALUE"""),0.5)</f>
        <v>0.5</v>
      </c>
      <c r="E133" s="1" t="str">
        <f>IFERROR(__xludf.DUMMYFUNCTION("""COMPUTED_VALUE"""),"-")</f>
        <v>-</v>
      </c>
      <c r="F133" s="1">
        <f>IFERROR(__xludf.DUMMYFUNCTION("""COMPUTED_VALUE"""),80.0)</f>
        <v>80</v>
      </c>
    </row>
    <row r="134">
      <c r="A134" s="1" t="str">
        <f>IFERROR(__xludf.DUMMYFUNCTION("""COMPUTED_VALUE"""),"Martinique")</f>
        <v>Martinique</v>
      </c>
      <c r="B134" s="2">
        <f>IFERROR(__xludf.DUMMYFUNCTION("""COMPUTED_VALUE"""),34000.0)</f>
        <v>34000</v>
      </c>
      <c r="C134" s="2">
        <f>IFERROR(__xludf.DUMMYFUNCTION("""COMPUTED_VALUE"""),396000.0)</f>
        <v>396000</v>
      </c>
      <c r="D134" s="1">
        <f>IFERROR(__xludf.DUMMYFUNCTION("""COMPUTED_VALUE"""),8.5)</f>
        <v>8.5</v>
      </c>
      <c r="E134" s="1" t="str">
        <f>IFERROR(__xludf.DUMMYFUNCTION("""COMPUTED_VALUE"""),"-")</f>
        <v>-</v>
      </c>
      <c r="F134" s="2">
        <f>IFERROR(__xludf.DUMMYFUNCTION("""COMPUTED_VALUE"""),1000.0)</f>
        <v>1000</v>
      </c>
    </row>
    <row r="135">
      <c r="A135" s="1" t="str">
        <f>IFERROR(__xludf.DUMMYFUNCTION("""COMPUTED_VALUE"""),"Mauritania")</f>
        <v>Mauritania</v>
      </c>
      <c r="B135" s="2">
        <f>IFERROR(__xludf.DUMMYFUNCTION("""COMPUTED_VALUE"""),120000.0)</f>
        <v>120000</v>
      </c>
      <c r="C135" s="2">
        <f>IFERROR(__xludf.DUMMYFUNCTION("""COMPUTED_VALUE"""),4266000.0)</f>
        <v>4266000</v>
      </c>
      <c r="D135" s="1">
        <f>IFERROR(__xludf.DUMMYFUNCTION("""COMPUTED_VALUE"""),2.8)</f>
        <v>2.8</v>
      </c>
      <c r="E135" s="2">
        <f>IFERROR(__xludf.DUMMYFUNCTION("""COMPUTED_VALUE"""),22820.0)</f>
        <v>22820</v>
      </c>
      <c r="F135" s="2">
        <f>IFERROR(__xludf.DUMMYFUNCTION("""COMPUTED_VALUE"""),10000.0)</f>
        <v>10000</v>
      </c>
    </row>
    <row r="136">
      <c r="A136" s="1" t="str">
        <f>IFERROR(__xludf.DUMMYFUNCTION("""COMPUTED_VALUE"""),"Mauritius")</f>
        <v>Mauritius</v>
      </c>
      <c r="B136" s="2">
        <f>IFERROR(__xludf.DUMMYFUNCTION("""COMPUTED_VALUE"""),106000.0)</f>
        <v>106000</v>
      </c>
      <c r="C136" s="2">
        <f>IFERROR(__xludf.DUMMYFUNCTION("""COMPUTED_VALUE"""),1281000.0)</f>
        <v>1281000</v>
      </c>
      <c r="D136" s="1">
        <f>IFERROR(__xludf.DUMMYFUNCTION("""COMPUTED_VALUE"""),8.3)</f>
        <v>8.3</v>
      </c>
      <c r="E136" s="2">
        <f>IFERROR(__xludf.DUMMYFUNCTION("""COMPUTED_VALUE"""),4845.0)</f>
        <v>4845</v>
      </c>
      <c r="F136" s="2">
        <f>IFERROR(__xludf.DUMMYFUNCTION("""COMPUTED_VALUE"""),11000.0)</f>
        <v>11000</v>
      </c>
    </row>
    <row r="137">
      <c r="A137" s="1" t="str">
        <f>IFERROR(__xludf.DUMMYFUNCTION("""COMPUTED_VALUE"""),"Mexico")</f>
        <v>Mexico</v>
      </c>
      <c r="B137" s="2">
        <f>IFERROR(__xludf.DUMMYFUNCTION("""COMPUTED_VALUE"""),1.6809E7)</f>
        <v>16809000</v>
      </c>
      <c r="C137" s="2">
        <f>IFERROR(__xludf.DUMMYFUNCTION("""COMPUTED_VALUE"""),1.30223E8)</f>
        <v>130223000</v>
      </c>
      <c r="D137" s="1">
        <f>IFERROR(__xludf.DUMMYFUNCTION("""COMPUTED_VALUE"""),12.9)</f>
        <v>12.9</v>
      </c>
      <c r="E137" s="2">
        <f>IFERROR(__xludf.DUMMYFUNCTION("""COMPUTED_VALUE"""),895285.0)</f>
        <v>895285</v>
      </c>
      <c r="F137" s="2">
        <f>IFERROR(__xludf.DUMMYFUNCTION("""COMPUTED_VALUE"""),591000.0)</f>
        <v>591000</v>
      </c>
    </row>
    <row r="138">
      <c r="A138" s="1" t="str">
        <f>IFERROR(__xludf.DUMMYFUNCTION("""COMPUTED_VALUE"""),"Micronesia, Fed. Sts.")</f>
        <v>Micronesia, Fed. Sts.</v>
      </c>
      <c r="B138" s="1">
        <f>IFERROR(__xludf.DUMMYFUNCTION("""COMPUTED_VALUE"""),700.0)</f>
        <v>700</v>
      </c>
      <c r="C138" s="2">
        <f>IFERROR(__xludf.DUMMYFUNCTION("""COMPUTED_VALUE"""),106000.0)</f>
        <v>106000</v>
      </c>
      <c r="D138" s="1">
        <f>IFERROR(__xludf.DUMMYFUNCTION("""COMPUTED_VALUE"""),0.7)</f>
        <v>0.7</v>
      </c>
      <c r="E138" s="1" t="str">
        <f>IFERROR(__xludf.DUMMYFUNCTION("""COMPUTED_VALUE"""),"-")</f>
        <v>-</v>
      </c>
      <c r="F138" s="1">
        <f>IFERROR(__xludf.DUMMYFUNCTION("""COMPUTED_VALUE"""),200.0)</f>
        <v>200</v>
      </c>
    </row>
    <row r="139">
      <c r="A139" s="1" t="str">
        <f>IFERROR(__xludf.DUMMYFUNCTION("""COMPUTED_VALUE"""),"Moldova, Republic of")</f>
        <v>Moldova, Republic of</v>
      </c>
      <c r="B139" s="2">
        <f>IFERROR(__xludf.DUMMYFUNCTION("""COMPUTED_VALUE"""),121000.0)</f>
        <v>121000</v>
      </c>
      <c r="C139" s="2">
        <f>IFERROR(__xludf.DUMMYFUNCTION("""COMPUTED_VALUE"""),4055000.0)</f>
        <v>4055000</v>
      </c>
      <c r="D139" s="1">
        <f>IFERROR(__xludf.DUMMYFUNCTION("""COMPUTED_VALUE"""),3.0)</f>
        <v>3</v>
      </c>
      <c r="E139" s="2">
        <f>IFERROR(__xludf.DUMMYFUNCTION("""COMPUTED_VALUE"""),98600.0)</f>
        <v>98600</v>
      </c>
      <c r="F139" s="2">
        <f>IFERROR(__xludf.DUMMYFUNCTION("""COMPUTED_VALUE"""),21000.0)</f>
        <v>21000</v>
      </c>
    </row>
    <row r="140">
      <c r="A140" s="1" t="str">
        <f>IFERROR(__xludf.DUMMYFUNCTION("""COMPUTED_VALUE"""),"Monaco")</f>
        <v>Monaco</v>
      </c>
      <c r="B140" s="2">
        <f>IFERROR(__xludf.DUMMYFUNCTION("""COMPUTED_VALUE"""),7000.0)</f>
        <v>7000</v>
      </c>
      <c r="C140" s="2">
        <f>IFERROR(__xludf.DUMMYFUNCTION("""COMPUTED_VALUE"""),38000.0)</f>
        <v>38000</v>
      </c>
      <c r="D140" s="1">
        <f>IFERROR(__xludf.DUMMYFUNCTION("""COMPUTED_VALUE"""),19.6)</f>
        <v>19.6</v>
      </c>
      <c r="E140" s="1" t="str">
        <f>IFERROR(__xludf.DUMMYFUNCTION("""COMPUTED_VALUE"""),"-")</f>
        <v>-</v>
      </c>
      <c r="F140" s="2">
        <f>IFERROR(__xludf.DUMMYFUNCTION("""COMPUTED_VALUE"""),1000.0)</f>
        <v>1000</v>
      </c>
    </row>
    <row r="141">
      <c r="A141" s="1" t="str">
        <f>IFERROR(__xludf.DUMMYFUNCTION("""COMPUTED_VALUE"""),"Mongolia")</f>
        <v>Mongolia</v>
      </c>
      <c r="B141" s="2">
        <f>IFERROR(__xludf.DUMMYFUNCTION("""COMPUTED_VALUE"""),242000.0)</f>
        <v>242000</v>
      </c>
      <c r="C141" s="2">
        <f>IFERROR(__xludf.DUMMYFUNCTION("""COMPUTED_VALUE"""),3052000.0)</f>
        <v>3052000</v>
      </c>
      <c r="D141" s="1">
        <f>IFERROR(__xludf.DUMMYFUNCTION("""COMPUTED_VALUE"""),7.9)</f>
        <v>7.9</v>
      </c>
      <c r="E141" s="2">
        <f>IFERROR(__xludf.DUMMYFUNCTION("""COMPUTED_VALUE"""),323400.0)</f>
        <v>323400</v>
      </c>
      <c r="F141" s="2">
        <f>IFERROR(__xludf.DUMMYFUNCTION("""COMPUTED_VALUE"""),7000.0)</f>
        <v>7000</v>
      </c>
    </row>
    <row r="142">
      <c r="A142" s="1" t="str">
        <f>IFERROR(__xludf.DUMMYFUNCTION("""COMPUTED_VALUE"""),"Montenegro")</f>
        <v>Montenegro</v>
      </c>
      <c r="B142" s="2">
        <f>IFERROR(__xludf.DUMMYFUNCTION("""COMPUTED_VALUE"""),245000.0)</f>
        <v>245000</v>
      </c>
      <c r="C142" s="2">
        <f>IFERROR(__xludf.DUMMYFUNCTION("""COMPUTED_VALUE"""),626000.0)</f>
        <v>626000</v>
      </c>
      <c r="D142" s="1">
        <f>IFERROR(__xludf.DUMMYFUNCTION("""COMPUTED_VALUE"""),39.1)</f>
        <v>39.1</v>
      </c>
      <c r="E142" s="2">
        <f>IFERROR(__xludf.DUMMYFUNCTION("""COMPUTED_VALUE"""),5396.0)</f>
        <v>5396</v>
      </c>
      <c r="F142" s="2">
        <f>IFERROR(__xludf.DUMMYFUNCTION("""COMPUTED_VALUE"""),8000.0)</f>
        <v>8000</v>
      </c>
    </row>
    <row r="143">
      <c r="A143" s="1" t="str">
        <f>IFERROR(__xludf.DUMMYFUNCTION("""COMPUTED_VALUE"""),"Montserrat")</f>
        <v>Montserrat</v>
      </c>
      <c r="B143" s="1">
        <f>IFERROR(__xludf.DUMMYFUNCTION("""COMPUTED_VALUE"""),300.0)</f>
        <v>300</v>
      </c>
      <c r="C143" s="2">
        <f>IFERROR(__xludf.DUMMYFUNCTION("""COMPUTED_VALUE"""),5000.0)</f>
        <v>5000</v>
      </c>
      <c r="D143" s="1">
        <f>IFERROR(__xludf.DUMMYFUNCTION("""COMPUTED_VALUE"""),5.4)</f>
        <v>5.4</v>
      </c>
      <c r="E143" s="1" t="str">
        <f>IFERROR(__xludf.DUMMYFUNCTION("""COMPUTED_VALUE"""),"-")</f>
        <v>-</v>
      </c>
      <c r="F143" s="1">
        <f>IFERROR(__xludf.DUMMYFUNCTION("""COMPUTED_VALUE"""),90.0)</f>
        <v>90</v>
      </c>
    </row>
    <row r="144">
      <c r="A144" s="1" t="str">
        <f>IFERROR(__xludf.DUMMYFUNCTION("""COMPUTED_VALUE"""),"Morocco")</f>
        <v>Morocco</v>
      </c>
      <c r="B144" s="2">
        <f>IFERROR(__xludf.DUMMYFUNCTION("""COMPUTED_VALUE"""),1690000.0)</f>
        <v>1690000</v>
      </c>
      <c r="C144" s="2">
        <f>IFERROR(__xludf.DUMMYFUNCTION("""COMPUTED_VALUE"""),3.5241E7)</f>
        <v>35241000</v>
      </c>
      <c r="D144" s="1">
        <f>IFERROR(__xludf.DUMMYFUNCTION("""COMPUTED_VALUE"""),4.8)</f>
        <v>4.8</v>
      </c>
      <c r="E144" s="2">
        <f>IFERROR(__xludf.DUMMYFUNCTION("""COMPUTED_VALUE"""),588020.0)</f>
        <v>588020</v>
      </c>
      <c r="F144" s="2">
        <f>IFERROR(__xludf.DUMMYFUNCTION("""COMPUTED_VALUE"""),91000.0)</f>
        <v>91000</v>
      </c>
    </row>
    <row r="145">
      <c r="A145" s="1" t="str">
        <f>IFERROR(__xludf.DUMMYFUNCTION("""COMPUTED_VALUE"""),"Mozambique")</f>
        <v>Mozambique</v>
      </c>
      <c r="B145" s="2">
        <f>IFERROR(__xludf.DUMMYFUNCTION("""COMPUTED_VALUE"""),1337000.0)</f>
        <v>1337000</v>
      </c>
      <c r="C145" s="2">
        <f>IFERROR(__xludf.DUMMYFUNCTION("""COMPUTED_VALUE"""),2.9538E7)</f>
        <v>29538000</v>
      </c>
      <c r="D145" s="1">
        <f>IFERROR(__xludf.DUMMYFUNCTION("""COMPUTED_VALUE"""),4.5)</f>
        <v>4.5</v>
      </c>
      <c r="E145" s="2">
        <f>IFERROR(__xludf.DUMMYFUNCTION("""COMPUTED_VALUE"""),60000.0)</f>
        <v>60000</v>
      </c>
      <c r="F145" s="2">
        <f>IFERROR(__xludf.DUMMYFUNCTION("""COMPUTED_VALUE"""),24000.0)</f>
        <v>24000</v>
      </c>
    </row>
    <row r="146">
      <c r="A146" s="1" t="str">
        <f>IFERROR(__xludf.DUMMYFUNCTION("""COMPUTED_VALUE"""),"Myanmar")</f>
        <v>Myanmar</v>
      </c>
      <c r="B146" s="2">
        <f>IFERROR(__xludf.DUMMYFUNCTION("""COMPUTED_VALUE"""),877000.0)</f>
        <v>877000</v>
      </c>
      <c r="C146" s="2">
        <f>IFERROR(__xludf.DUMMYFUNCTION("""COMPUTED_VALUE"""),5.4836E7)</f>
        <v>54836000</v>
      </c>
      <c r="D146" s="1">
        <f>IFERROR(__xludf.DUMMYFUNCTION("""COMPUTED_VALUE"""),1.6)</f>
        <v>1.6</v>
      </c>
      <c r="E146" s="2">
        <f>IFERROR(__xludf.DUMMYFUNCTION("""COMPUTED_VALUE"""),788900.0)</f>
        <v>788900</v>
      </c>
      <c r="F146" s="2">
        <f>IFERROR(__xludf.DUMMYFUNCTION("""COMPUTED_VALUE"""),76000.0)</f>
        <v>76000</v>
      </c>
    </row>
    <row r="147">
      <c r="A147" s="1" t="str">
        <f>IFERROR(__xludf.DUMMYFUNCTION("""COMPUTED_VALUE"""),"Namibia")</f>
        <v>Namibia</v>
      </c>
      <c r="B147" s="2">
        <f>IFERROR(__xludf.DUMMYFUNCTION("""COMPUTED_VALUE"""),396000.0)</f>
        <v>396000</v>
      </c>
      <c r="C147" s="2">
        <f>IFERROR(__xludf.DUMMYFUNCTION("""COMPUTED_VALUE"""),2569000.0)</f>
        <v>2569000</v>
      </c>
      <c r="D147" s="1">
        <f>IFERROR(__xludf.DUMMYFUNCTION("""COMPUTED_VALUE"""),15.4)</f>
        <v>15.4</v>
      </c>
      <c r="E147" s="2">
        <f>IFERROR(__xludf.DUMMYFUNCTION("""COMPUTED_VALUE"""),11880.0)</f>
        <v>11880</v>
      </c>
      <c r="F147" s="2">
        <f>IFERROR(__xludf.DUMMYFUNCTION("""COMPUTED_VALUE"""),15000.0)</f>
        <v>15000</v>
      </c>
    </row>
    <row r="148">
      <c r="A148" s="1" t="str">
        <f>IFERROR(__xludf.DUMMYFUNCTION("""COMPUTED_VALUE"""),"Nauru")</f>
        <v>Nauru</v>
      </c>
      <c r="B148" s="1">
        <f>IFERROR(__xludf.DUMMYFUNCTION("""COMPUTED_VALUE"""),0.0)</f>
        <v>0</v>
      </c>
      <c r="C148" s="2">
        <f>IFERROR(__xludf.DUMMYFUNCTION("""COMPUTED_VALUE"""),10000.0)</f>
        <v>10000</v>
      </c>
      <c r="D148" s="1">
        <f>IFERROR(__xludf.DUMMYFUNCTION("""COMPUTED_VALUE"""),0.0)</f>
        <v>0</v>
      </c>
      <c r="E148" s="1" t="str">
        <f>IFERROR(__xludf.DUMMYFUNCTION("""COMPUTED_VALUE"""),"-")</f>
        <v>-</v>
      </c>
      <c r="F148" s="1">
        <f>IFERROR(__xludf.DUMMYFUNCTION("""COMPUTED_VALUE"""),60.0)</f>
        <v>60</v>
      </c>
    </row>
    <row r="149">
      <c r="A149" s="1" t="str">
        <f>IFERROR(__xludf.DUMMYFUNCTION("""COMPUTED_VALUE"""),"Nepal")</f>
        <v>Nepal</v>
      </c>
      <c r="B149" s="2">
        <f>IFERROR(__xludf.DUMMYFUNCTION("""COMPUTED_VALUE"""),444000.0)</f>
        <v>444000</v>
      </c>
      <c r="C149" s="2">
        <f>IFERROR(__xludf.DUMMYFUNCTION("""COMPUTED_VALUE"""),2.9187E7)</f>
        <v>29187000</v>
      </c>
      <c r="D149" s="1">
        <f>IFERROR(__xludf.DUMMYFUNCTION("""COMPUTED_VALUE"""),1.5)</f>
        <v>1.5</v>
      </c>
      <c r="E149" s="2">
        <f>IFERROR(__xludf.DUMMYFUNCTION("""COMPUTED_VALUE"""),183540.0)</f>
        <v>183540</v>
      </c>
      <c r="F149" s="2">
        <f>IFERROR(__xludf.DUMMYFUNCTION("""COMPUTED_VALUE"""),62000.0)</f>
        <v>62000</v>
      </c>
    </row>
    <row r="150">
      <c r="A150" s="1" t="str">
        <f>IFERROR(__xludf.DUMMYFUNCTION("""COMPUTED_VALUE"""),"Netherlands")</f>
        <v>Netherlands</v>
      </c>
      <c r="B150" s="2">
        <f>IFERROR(__xludf.DUMMYFUNCTION("""COMPUTED_VALUE"""),442000.0)</f>
        <v>442000</v>
      </c>
      <c r="C150" s="2">
        <f>IFERROR(__xludf.DUMMYFUNCTION("""COMPUTED_VALUE"""),1.7033E7)</f>
        <v>17033000</v>
      </c>
      <c r="D150" s="1">
        <f>IFERROR(__xludf.DUMMYFUNCTION("""COMPUTED_VALUE"""),2.6)</f>
        <v>2.6</v>
      </c>
      <c r="E150" s="2">
        <f>IFERROR(__xludf.DUMMYFUNCTION("""COMPUTED_VALUE"""),108676.0)</f>
        <v>108676</v>
      </c>
      <c r="F150" s="2">
        <f>IFERROR(__xludf.DUMMYFUNCTION("""COMPUTED_VALUE"""),96000.0)</f>
        <v>96000</v>
      </c>
    </row>
    <row r="151">
      <c r="A151" s="1" t="str">
        <f>IFERROR(__xludf.DUMMYFUNCTION("""COMPUTED_VALUE"""),"New Caledonia")</f>
        <v>New Caledonia</v>
      </c>
      <c r="B151" s="2">
        <f>IFERROR(__xludf.DUMMYFUNCTION("""COMPUTED_VALUE"""),115000.0)</f>
        <v>115000</v>
      </c>
      <c r="C151" s="2">
        <f>IFERROR(__xludf.DUMMYFUNCTION("""COMPUTED_VALUE"""),270000.0)</f>
        <v>270000</v>
      </c>
      <c r="D151" s="1">
        <f>IFERROR(__xludf.DUMMYFUNCTION("""COMPUTED_VALUE"""),42.5)</f>
        <v>42.5</v>
      </c>
      <c r="E151" s="1" t="str">
        <f>IFERROR(__xludf.DUMMYFUNCTION("""COMPUTED_VALUE"""),"-")</f>
        <v>-</v>
      </c>
      <c r="F151" s="1">
        <f>IFERROR(__xludf.DUMMYFUNCTION("""COMPUTED_VALUE"""),700.0)</f>
        <v>700</v>
      </c>
    </row>
    <row r="152">
      <c r="A152" s="1" t="str">
        <f>IFERROR(__xludf.DUMMYFUNCTION("""COMPUTED_VALUE"""),"New Zealand")</f>
        <v>New Zealand</v>
      </c>
      <c r="B152" s="2">
        <f>IFERROR(__xludf.DUMMYFUNCTION("""COMPUTED_VALUE"""),1212000.0)</f>
        <v>1212000</v>
      </c>
      <c r="C152" s="2">
        <f>IFERROR(__xludf.DUMMYFUNCTION("""COMPUTED_VALUE"""),4605000.0)</f>
        <v>4605000</v>
      </c>
      <c r="D152" s="1">
        <f>IFERROR(__xludf.DUMMYFUNCTION("""COMPUTED_VALUE"""),26.3)</f>
        <v>26.3</v>
      </c>
      <c r="E152" s="2">
        <f>IFERROR(__xludf.DUMMYFUNCTION("""COMPUTED_VALUE"""),38280.0)</f>
        <v>38280</v>
      </c>
      <c r="F152" s="2">
        <f>IFERROR(__xludf.DUMMYFUNCTION("""COMPUTED_VALUE"""),13000.0)</f>
        <v>13000</v>
      </c>
    </row>
    <row r="153">
      <c r="A153" s="1" t="str">
        <f>IFERROR(__xludf.DUMMYFUNCTION("""COMPUTED_VALUE"""),"Nicaragua")</f>
        <v>Nicaragua</v>
      </c>
      <c r="B153" s="2">
        <f>IFERROR(__xludf.DUMMYFUNCTION("""COMPUTED_VALUE"""),323000.0)</f>
        <v>323000</v>
      </c>
      <c r="C153" s="2">
        <f>IFERROR(__xludf.DUMMYFUNCTION("""COMPUTED_VALUE"""),6218000.0)</f>
        <v>6218000</v>
      </c>
      <c r="D153" s="1">
        <f>IFERROR(__xludf.DUMMYFUNCTION("""COMPUTED_VALUE"""),5.2)</f>
        <v>5.2</v>
      </c>
      <c r="E153" s="2">
        <f>IFERROR(__xludf.DUMMYFUNCTION("""COMPUTED_VALUE"""),261800.0)</f>
        <v>261800</v>
      </c>
      <c r="F153" s="2">
        <f>IFERROR(__xludf.DUMMYFUNCTION("""COMPUTED_VALUE"""),8590.0)</f>
        <v>8590</v>
      </c>
    </row>
    <row r="154">
      <c r="A154" s="1" t="str">
        <f>IFERROR(__xludf.DUMMYFUNCTION("""COMPUTED_VALUE"""),"Niger")</f>
        <v>Niger</v>
      </c>
      <c r="B154" s="2">
        <f>IFERROR(__xludf.DUMMYFUNCTION("""COMPUTED_VALUE"""),117000.0)</f>
        <v>117000</v>
      </c>
      <c r="C154" s="2">
        <f>IFERROR(__xludf.DUMMYFUNCTION("""COMPUTED_VALUE"""),2.1564E7)</f>
        <v>21564000</v>
      </c>
      <c r="D154" s="1">
        <f>IFERROR(__xludf.DUMMYFUNCTION("""COMPUTED_VALUE"""),0.5)</f>
        <v>0.5</v>
      </c>
      <c r="E154" s="2">
        <f>IFERROR(__xludf.DUMMYFUNCTION("""COMPUTED_VALUE"""),11110.0)</f>
        <v>11110</v>
      </c>
      <c r="F154" s="2">
        <f>IFERROR(__xludf.DUMMYFUNCTION("""COMPUTED_VALUE"""),10000.0)</f>
        <v>10000</v>
      </c>
    </row>
    <row r="155">
      <c r="A155" s="1" t="str">
        <f>IFERROR(__xludf.DUMMYFUNCTION("""COMPUTED_VALUE"""),"Nigeria")</f>
        <v>Nigeria</v>
      </c>
      <c r="B155" s="2">
        <f>IFERROR(__xludf.DUMMYFUNCTION("""COMPUTED_VALUE"""),6154000.0)</f>
        <v>6154000</v>
      </c>
      <c r="C155" s="2">
        <f>IFERROR(__xludf.DUMMYFUNCTION("""COMPUTED_VALUE"""),1.91836E8)</f>
        <v>191836000</v>
      </c>
      <c r="D155" s="1">
        <f>IFERROR(__xludf.DUMMYFUNCTION("""COMPUTED_VALUE"""),3.2)</f>
        <v>3.2</v>
      </c>
      <c r="E155" s="2">
        <f>IFERROR(__xludf.DUMMYFUNCTION("""COMPUTED_VALUE"""),224200.0)</f>
        <v>224200</v>
      </c>
      <c r="F155" s="2">
        <f>IFERROR(__xludf.DUMMYFUNCTION("""COMPUTED_VALUE"""),362400.0)</f>
        <v>362400</v>
      </c>
    </row>
    <row r="156">
      <c r="A156" s="1" t="str">
        <f>IFERROR(__xludf.DUMMYFUNCTION("""COMPUTED_VALUE"""),"Northern Ireland")</f>
        <v>Northern Ireland</v>
      </c>
      <c r="B156" s="2">
        <f>IFERROR(__xludf.DUMMYFUNCTION("""COMPUTED_VALUE"""),206000.0)</f>
        <v>206000</v>
      </c>
      <c r="C156" s="2">
        <f>IFERROR(__xludf.DUMMYFUNCTION("""COMPUTED_VALUE"""),1873000.0)</f>
        <v>1873000</v>
      </c>
      <c r="D156" s="1">
        <f>IFERROR(__xludf.DUMMYFUNCTION("""COMPUTED_VALUE"""),11.0)</f>
        <v>11</v>
      </c>
      <c r="E156" s="1" t="str">
        <f>IFERROR(__xludf.DUMMYFUNCTION("""COMPUTED_VALUE"""),"-")</f>
        <v>-</v>
      </c>
      <c r="F156" s="2">
        <f>IFERROR(__xludf.DUMMYFUNCTION("""COMPUTED_VALUE"""),13000.0)</f>
        <v>13000</v>
      </c>
    </row>
    <row r="157">
      <c r="A157" s="1" t="str">
        <f>IFERROR(__xludf.DUMMYFUNCTION("""COMPUTED_VALUE"""),"Northern Mariana Islands")</f>
        <v>Northern Mariana Islands</v>
      </c>
      <c r="B157" s="2">
        <f>IFERROR(__xludf.DUMMYFUNCTION("""COMPUTED_VALUE"""),1000.0)</f>
        <v>1000</v>
      </c>
      <c r="C157" s="2">
        <f>IFERROR(__xludf.DUMMYFUNCTION("""COMPUTED_VALUE"""),56000.0)</f>
        <v>56000</v>
      </c>
      <c r="D157" s="1">
        <f>IFERROR(__xludf.DUMMYFUNCTION("""COMPUTED_VALUE"""),2.6)</f>
        <v>2.6</v>
      </c>
      <c r="E157" s="1" t="str">
        <f>IFERROR(__xludf.DUMMYFUNCTION("""COMPUTED_VALUE"""),"-")</f>
        <v>-</v>
      </c>
      <c r="F157" s="1">
        <f>IFERROR(__xludf.DUMMYFUNCTION("""COMPUTED_VALUE"""),80.0)</f>
        <v>80</v>
      </c>
    </row>
    <row r="158">
      <c r="A158" s="1" t="str">
        <f>IFERROR(__xludf.DUMMYFUNCTION("""COMPUTED_VALUE"""),"Norway")</f>
        <v>Norway</v>
      </c>
      <c r="B158" s="2">
        <f>IFERROR(__xludf.DUMMYFUNCTION("""COMPUTED_VALUE"""),1537000.0)</f>
        <v>1537000</v>
      </c>
      <c r="C158" s="2">
        <f>IFERROR(__xludf.DUMMYFUNCTION("""COMPUTED_VALUE"""),5331000.0)</f>
        <v>5331000</v>
      </c>
      <c r="D158" s="1">
        <f>IFERROR(__xludf.DUMMYFUNCTION("""COMPUTED_VALUE"""),28.8)</f>
        <v>28.8</v>
      </c>
      <c r="E158" s="2">
        <f>IFERROR(__xludf.DUMMYFUNCTION("""COMPUTED_VALUE"""),188646.0)</f>
        <v>188646</v>
      </c>
      <c r="F158" s="2">
        <f>IFERROR(__xludf.DUMMYFUNCTION("""COMPUTED_VALUE"""),13000.0)</f>
        <v>13000</v>
      </c>
    </row>
    <row r="159">
      <c r="A159" s="1" t="str">
        <f>IFERROR(__xludf.DUMMYFUNCTION("""COMPUTED_VALUE"""),"Oman")</f>
        <v>Oman</v>
      </c>
      <c r="B159" s="2">
        <f>IFERROR(__xludf.DUMMYFUNCTION("""COMPUTED_VALUE"""),792000.0)</f>
        <v>792000</v>
      </c>
      <c r="C159" s="2">
        <f>IFERROR(__xludf.DUMMYFUNCTION("""COMPUTED_VALUE"""),4741000.0)</f>
        <v>4741000</v>
      </c>
      <c r="D159" s="1">
        <f>IFERROR(__xludf.DUMMYFUNCTION("""COMPUTED_VALUE"""),16.7)</f>
        <v>16.7</v>
      </c>
      <c r="E159" s="2">
        <f>IFERROR(__xludf.DUMMYFUNCTION("""COMPUTED_VALUE"""),118360.0)</f>
        <v>118360</v>
      </c>
      <c r="F159" s="2">
        <f>IFERROR(__xludf.DUMMYFUNCTION("""COMPUTED_VALUE"""),31000.0)</f>
        <v>31000</v>
      </c>
    </row>
    <row r="160">
      <c r="A160" s="1" t="str">
        <f>IFERROR(__xludf.DUMMYFUNCTION("""COMPUTED_VALUE"""),"Pakistan")</f>
        <v>Pakistan</v>
      </c>
      <c r="B160" s="2">
        <f>IFERROR(__xludf.DUMMYFUNCTION("""COMPUTED_VALUE"""),4.3917E7)</f>
        <v>43917000</v>
      </c>
      <c r="C160" s="2">
        <f>IFERROR(__xludf.DUMMYFUNCTION("""COMPUTED_VALUE"""),1.96744E8)</f>
        <v>196744000</v>
      </c>
      <c r="D160" s="1">
        <f>IFERROR(__xludf.DUMMYFUNCTION("""COMPUTED_VALUE"""),22.3)</f>
        <v>22.3</v>
      </c>
      <c r="E160" s="2">
        <f>IFERROR(__xludf.DUMMYFUNCTION("""COMPUTED_VALUE"""),2315480.0)</f>
        <v>2315480</v>
      </c>
      <c r="F160" s="2">
        <f>IFERROR(__xludf.DUMMYFUNCTION("""COMPUTED_VALUE"""),944000.0)</f>
        <v>944000</v>
      </c>
    </row>
    <row r="161">
      <c r="A161" s="1" t="str">
        <f>IFERROR(__xludf.DUMMYFUNCTION("""COMPUTED_VALUE"""),"Palau")</f>
        <v>Palau</v>
      </c>
      <c r="B161" s="1">
        <f>IFERROR(__xludf.DUMMYFUNCTION("""COMPUTED_VALUE"""),100.0)</f>
        <v>100</v>
      </c>
      <c r="C161" s="2">
        <f>IFERROR(__xludf.DUMMYFUNCTION("""COMPUTED_VALUE"""),22000.0)</f>
        <v>22000</v>
      </c>
      <c r="D161" s="1">
        <f>IFERROR(__xludf.DUMMYFUNCTION("""COMPUTED_VALUE"""),0.5)</f>
        <v>0.5</v>
      </c>
      <c r="E161" s="1" t="str">
        <f>IFERROR(__xludf.DUMMYFUNCTION("""COMPUTED_VALUE"""),"-")</f>
        <v>-</v>
      </c>
      <c r="F161" s="1">
        <f>IFERROR(__xludf.DUMMYFUNCTION("""COMPUTED_VALUE"""),30.0)</f>
        <v>30</v>
      </c>
    </row>
    <row r="162">
      <c r="A162" s="1" t="str">
        <f>IFERROR(__xludf.DUMMYFUNCTION("""COMPUTED_VALUE"""),"Palestinian Territories")</f>
        <v>Palestinian Territories</v>
      </c>
      <c r="B162" s="2">
        <f>IFERROR(__xludf.DUMMYFUNCTION("""COMPUTED_VALUE"""),56000.0)</f>
        <v>56000</v>
      </c>
      <c r="C162" s="2">
        <f>IFERROR(__xludf.DUMMYFUNCTION("""COMPUTED_VALUE"""),4952000.0)</f>
        <v>4952000</v>
      </c>
      <c r="D162" s="1">
        <f>IFERROR(__xludf.DUMMYFUNCTION("""COMPUTED_VALUE"""),1.1)</f>
        <v>1.1</v>
      </c>
      <c r="E162" s="2">
        <f>IFERROR(__xludf.DUMMYFUNCTION("""COMPUTED_VALUE"""),44410.0)</f>
        <v>44410</v>
      </c>
      <c r="F162" s="2">
        <f>IFERROR(__xludf.DUMMYFUNCTION("""COMPUTED_VALUE"""),33000.0)</f>
        <v>33000</v>
      </c>
    </row>
    <row r="163">
      <c r="A163" s="1" t="str">
        <f>IFERROR(__xludf.DUMMYFUNCTION("""COMPUTED_VALUE"""),"Panama")</f>
        <v>Panama</v>
      </c>
      <c r="B163" s="2">
        <f>IFERROR(__xludf.DUMMYFUNCTION("""COMPUTED_VALUE"""),436000.0)</f>
        <v>436000</v>
      </c>
      <c r="C163" s="2">
        <f>IFERROR(__xludf.DUMMYFUNCTION("""COMPUTED_VALUE"""),4051000.0)</f>
        <v>4051000</v>
      </c>
      <c r="D163" s="1">
        <f>IFERROR(__xludf.DUMMYFUNCTION("""COMPUTED_VALUE"""),10.8)</f>
        <v>10.8</v>
      </c>
      <c r="E163" s="1" t="str">
        <f>IFERROR(__xludf.DUMMYFUNCTION("""COMPUTED_VALUE"""),"-")</f>
        <v>-</v>
      </c>
      <c r="F163" s="2">
        <f>IFERROR(__xludf.DUMMYFUNCTION("""COMPUTED_VALUE"""),30000.0)</f>
        <v>30000</v>
      </c>
    </row>
    <row r="164">
      <c r="A164" s="1" t="str">
        <f>IFERROR(__xludf.DUMMYFUNCTION("""COMPUTED_VALUE"""),"Papua New Guinea")</f>
        <v>Papua New Guinea</v>
      </c>
      <c r="B164" s="2">
        <f>IFERROR(__xludf.DUMMYFUNCTION("""COMPUTED_VALUE"""),79000.0)</f>
        <v>79000</v>
      </c>
      <c r="C164" s="2">
        <f>IFERROR(__xludf.DUMMYFUNCTION("""COMPUTED_VALUE"""),7934000.0)</f>
        <v>7934000</v>
      </c>
      <c r="D164" s="1">
        <f>IFERROR(__xludf.DUMMYFUNCTION("""COMPUTED_VALUE"""),1.0)</f>
        <v>1</v>
      </c>
      <c r="E164" s="2">
        <f>IFERROR(__xludf.DUMMYFUNCTION("""COMPUTED_VALUE"""),7200.0)</f>
        <v>7200</v>
      </c>
      <c r="F164" s="2">
        <f>IFERROR(__xludf.DUMMYFUNCTION("""COMPUTED_VALUE"""),4800.0)</f>
        <v>4800</v>
      </c>
    </row>
    <row r="165">
      <c r="A165" s="1" t="str">
        <f>IFERROR(__xludf.DUMMYFUNCTION("""COMPUTED_VALUE"""),"Paraguay")</f>
        <v>Paraguay</v>
      </c>
      <c r="B165" s="2">
        <f>IFERROR(__xludf.DUMMYFUNCTION("""COMPUTED_VALUE"""),1140000.0)</f>
        <v>1140000</v>
      </c>
      <c r="C165" s="2">
        <f>IFERROR(__xludf.DUMMYFUNCTION("""COMPUTED_VALUE"""),6812000.0)</f>
        <v>6812000</v>
      </c>
      <c r="D165" s="1">
        <f>IFERROR(__xludf.DUMMYFUNCTION("""COMPUTED_VALUE"""),16.7)</f>
        <v>16.7</v>
      </c>
      <c r="E165" s="2">
        <f>IFERROR(__xludf.DUMMYFUNCTION("""COMPUTED_VALUE"""),235780.0)</f>
        <v>235780</v>
      </c>
      <c r="F165" s="2">
        <f>IFERROR(__xludf.DUMMYFUNCTION("""COMPUTED_VALUE"""),21000.0)</f>
        <v>21000</v>
      </c>
    </row>
    <row r="166">
      <c r="A166" s="1" t="str">
        <f>IFERROR(__xludf.DUMMYFUNCTION("""COMPUTED_VALUE"""),"Peru")</f>
        <v>Peru</v>
      </c>
      <c r="B166" s="2">
        <f>IFERROR(__xludf.DUMMYFUNCTION("""COMPUTED_VALUE"""),633000.0)</f>
        <v>633000</v>
      </c>
      <c r="C166" s="2">
        <f>IFERROR(__xludf.DUMMYFUNCTION("""COMPUTED_VALUE"""),3.2166E7)</f>
        <v>32166000</v>
      </c>
      <c r="D166" s="1">
        <f>IFERROR(__xludf.DUMMYFUNCTION("""COMPUTED_VALUE"""),2.0)</f>
        <v>2</v>
      </c>
      <c r="E166" s="2">
        <f>IFERROR(__xludf.DUMMYFUNCTION("""COMPUTED_VALUE"""),473400.0)</f>
        <v>473400</v>
      </c>
      <c r="F166" s="2">
        <f>IFERROR(__xludf.DUMMYFUNCTION("""COMPUTED_VALUE"""),142000.0)</f>
        <v>142000</v>
      </c>
    </row>
    <row r="167">
      <c r="A167" s="1" t="str">
        <f>IFERROR(__xludf.DUMMYFUNCTION("""COMPUTED_VALUE"""),"Philippines")</f>
        <v>Philippines</v>
      </c>
      <c r="B167" s="2">
        <f>IFERROR(__xludf.DUMMYFUNCTION("""COMPUTED_VALUE"""),3776000.0)</f>
        <v>3776000</v>
      </c>
      <c r="C167" s="2">
        <f>IFERROR(__xludf.DUMMYFUNCTION("""COMPUTED_VALUE"""),1.03797E8)</f>
        <v>103797000</v>
      </c>
      <c r="D167" s="1">
        <f>IFERROR(__xludf.DUMMYFUNCTION("""COMPUTED_VALUE"""),3.6)</f>
        <v>3.6</v>
      </c>
      <c r="E167" s="2">
        <f>IFERROR(__xludf.DUMMYFUNCTION("""COMPUTED_VALUE"""),454700.0)</f>
        <v>454700</v>
      </c>
      <c r="F167" s="2">
        <f>IFERROR(__xludf.DUMMYFUNCTION("""COMPUTED_VALUE"""),139043.0)</f>
        <v>139043</v>
      </c>
    </row>
    <row r="168">
      <c r="A168" s="1" t="str">
        <f>IFERROR(__xludf.DUMMYFUNCTION("""COMPUTED_VALUE"""),"Poland")</f>
        <v>Poland</v>
      </c>
      <c r="B168" s="2">
        <f>IFERROR(__xludf.DUMMYFUNCTION("""COMPUTED_VALUE"""),968000.0)</f>
        <v>968000</v>
      </c>
      <c r="C168" s="2">
        <f>IFERROR(__xludf.DUMMYFUNCTION("""COMPUTED_VALUE"""),3.8564E7)</f>
        <v>38564000</v>
      </c>
      <c r="D168" s="1">
        <f>IFERROR(__xludf.DUMMYFUNCTION("""COMPUTED_VALUE"""),2.5)</f>
        <v>2.5</v>
      </c>
      <c r="E168" s="2">
        <f>IFERROR(__xludf.DUMMYFUNCTION("""COMPUTED_VALUE"""),307200.0)</f>
        <v>307200</v>
      </c>
      <c r="F168" s="2">
        <f>IFERROR(__xludf.DUMMYFUNCTION("""COMPUTED_VALUE"""),188000.0)</f>
        <v>188000</v>
      </c>
    </row>
    <row r="169">
      <c r="A169" s="1" t="str">
        <f>IFERROR(__xludf.DUMMYFUNCTION("""COMPUTED_VALUE"""),"Portugal")</f>
        <v>Portugal</v>
      </c>
      <c r="B169" s="2">
        <f>IFERROR(__xludf.DUMMYFUNCTION("""COMPUTED_VALUE"""),2186000.0)</f>
        <v>2186000</v>
      </c>
      <c r="C169" s="2">
        <f>IFERROR(__xludf.DUMMYFUNCTION("""COMPUTED_VALUE"""),1.0265E7)</f>
        <v>10265000</v>
      </c>
      <c r="D169" s="1">
        <f>IFERROR(__xludf.DUMMYFUNCTION("""COMPUTED_VALUE"""),21.3)</f>
        <v>21.3</v>
      </c>
      <c r="E169" s="2">
        <f>IFERROR(__xludf.DUMMYFUNCTION("""COMPUTED_VALUE"""),333640.0)</f>
        <v>333640</v>
      </c>
      <c r="F169" s="2">
        <f>IFERROR(__xludf.DUMMYFUNCTION("""COMPUTED_VALUE"""),89000.0)</f>
        <v>89000</v>
      </c>
    </row>
    <row r="170">
      <c r="A170" s="1" t="str">
        <f>IFERROR(__xludf.DUMMYFUNCTION("""COMPUTED_VALUE"""),"Puerto Rico")</f>
        <v>Puerto Rico</v>
      </c>
      <c r="B170" s="2">
        <f>IFERROR(__xludf.DUMMYFUNCTION("""COMPUTED_VALUE"""),422000.0)</f>
        <v>422000</v>
      </c>
      <c r="C170" s="2">
        <f>IFERROR(__xludf.DUMMYFUNCTION("""COMPUTED_VALUE"""),3679000.0)</f>
        <v>3679000</v>
      </c>
      <c r="D170" s="1">
        <f>IFERROR(__xludf.DUMMYFUNCTION("""COMPUTED_VALUE"""),11.5)</f>
        <v>11.5</v>
      </c>
      <c r="E170" s="1" t="str">
        <f>IFERROR(__xludf.DUMMYFUNCTION("""COMPUTED_VALUE"""),"-")</f>
        <v>-</v>
      </c>
      <c r="F170" s="2">
        <f>IFERROR(__xludf.DUMMYFUNCTION("""COMPUTED_VALUE"""),26000.0)</f>
        <v>26000</v>
      </c>
    </row>
    <row r="171">
      <c r="A171" s="1" t="str">
        <f>IFERROR(__xludf.DUMMYFUNCTION("""COMPUTED_VALUE"""),"Puntland")</f>
        <v>Puntland</v>
      </c>
      <c r="B171" s="2">
        <f>IFERROR(__xludf.DUMMYFUNCTION("""COMPUTED_VALUE"""),246000.0)</f>
        <v>246000</v>
      </c>
      <c r="C171" s="2">
        <f>IFERROR(__xludf.DUMMYFUNCTION("""COMPUTED_VALUE"""),1995000.0)</f>
        <v>1995000</v>
      </c>
      <c r="D171" s="1">
        <f>IFERROR(__xludf.DUMMYFUNCTION("""COMPUTED_VALUE"""),12.3)</f>
        <v>12.3</v>
      </c>
      <c r="E171" s="2">
        <f>IFERROR(__xludf.DUMMYFUNCTION("""COMPUTED_VALUE"""),3600.0)</f>
        <v>3600</v>
      </c>
      <c r="F171" s="2">
        <f>IFERROR(__xludf.DUMMYFUNCTION("""COMPUTED_VALUE"""),8000.0)</f>
        <v>8000</v>
      </c>
    </row>
    <row r="172">
      <c r="A172" s="1" t="str">
        <f>IFERROR(__xludf.DUMMYFUNCTION("""COMPUTED_VALUE"""),"Qatar")</f>
        <v>Qatar</v>
      </c>
      <c r="B172" s="2">
        <f>IFERROR(__xludf.DUMMYFUNCTION("""COMPUTED_VALUE"""),390000.0)</f>
        <v>390000</v>
      </c>
      <c r="C172" s="2">
        <f>IFERROR(__xludf.DUMMYFUNCTION("""COMPUTED_VALUE"""),2338000.0)</f>
        <v>2338000</v>
      </c>
      <c r="D172" s="1">
        <f>IFERROR(__xludf.DUMMYFUNCTION("""COMPUTED_VALUE"""),16.7)</f>
        <v>16.7</v>
      </c>
      <c r="E172" s="2">
        <f>IFERROR(__xludf.DUMMYFUNCTION("""COMPUTED_VALUE"""),30680.0)</f>
        <v>30680</v>
      </c>
      <c r="F172" s="2">
        <f>IFERROR(__xludf.DUMMYFUNCTION("""COMPUTED_VALUE"""),5000.0)</f>
        <v>5000</v>
      </c>
    </row>
    <row r="173">
      <c r="A173" s="1" t="str">
        <f>IFERROR(__xludf.DUMMYFUNCTION("""COMPUTED_VALUE"""),"Réunion")</f>
        <v>Réunion</v>
      </c>
      <c r="B173" s="2">
        <f>IFERROR(__xludf.DUMMYFUNCTION("""COMPUTED_VALUE"""),171000.0)</f>
        <v>171000</v>
      </c>
      <c r="C173" s="2">
        <f>IFERROR(__xludf.DUMMYFUNCTION("""COMPUTED_VALUE"""),873000.0)</f>
        <v>873000</v>
      </c>
      <c r="D173" s="1">
        <f>IFERROR(__xludf.DUMMYFUNCTION("""COMPUTED_VALUE"""),19.6)</f>
        <v>19.6</v>
      </c>
      <c r="E173" s="1" t="str">
        <f>IFERROR(__xludf.DUMMYFUNCTION("""COMPUTED_VALUE"""),"-")</f>
        <v>-</v>
      </c>
      <c r="F173" s="2">
        <f>IFERROR(__xludf.DUMMYFUNCTION("""COMPUTED_VALUE"""),2000.0)</f>
        <v>2000</v>
      </c>
    </row>
    <row r="174">
      <c r="A174" s="1" t="str">
        <f>IFERROR(__xludf.DUMMYFUNCTION("""COMPUTED_VALUE"""),"Romania")</f>
        <v>Romania</v>
      </c>
      <c r="B174" s="2">
        <f>IFERROR(__xludf.DUMMYFUNCTION("""COMPUTED_VALUE"""),506000.0)</f>
        <v>506000</v>
      </c>
      <c r="C174" s="2">
        <f>IFERROR(__xludf.DUMMYFUNCTION("""COMPUTED_VALUE"""),1.9238E7)</f>
        <v>19238000</v>
      </c>
      <c r="D174" s="1">
        <f>IFERROR(__xludf.DUMMYFUNCTION("""COMPUTED_VALUE"""),2.6)</f>
        <v>2.6</v>
      </c>
      <c r="E174" s="2">
        <f>IFERROR(__xludf.DUMMYFUNCTION("""COMPUTED_VALUE"""),240180.0)</f>
        <v>240180</v>
      </c>
      <c r="F174" s="2">
        <f>IFERROR(__xludf.DUMMYFUNCTION("""COMPUTED_VALUE"""),251000.0)</f>
        <v>251000</v>
      </c>
    </row>
    <row r="175">
      <c r="A175" s="1" t="str">
        <f>IFERROR(__xludf.DUMMYFUNCTION("""COMPUTED_VALUE"""),"Russian Federation")</f>
        <v>Russian Federation</v>
      </c>
      <c r="B175" s="2">
        <f>IFERROR(__xludf.DUMMYFUNCTION("""COMPUTED_VALUE"""),1.762E7)</f>
        <v>17620000</v>
      </c>
      <c r="C175" s="2">
        <f>IFERROR(__xludf.DUMMYFUNCTION("""COMPUTED_VALUE"""),1.43375E8)</f>
        <v>143375000</v>
      </c>
      <c r="D175" s="1">
        <f>IFERROR(__xludf.DUMMYFUNCTION("""COMPUTED_VALUE"""),12.3)</f>
        <v>12.3</v>
      </c>
      <c r="E175" s="2">
        <f>IFERROR(__xludf.DUMMYFUNCTION("""COMPUTED_VALUE"""),3.02729E7)</f>
        <v>30272900</v>
      </c>
      <c r="F175" s="2">
        <f>IFERROR(__xludf.DUMMYFUNCTION("""COMPUTED_VALUE"""),2432000.0)</f>
        <v>2432000</v>
      </c>
    </row>
    <row r="176">
      <c r="A176" s="1" t="str">
        <f>IFERROR(__xludf.DUMMYFUNCTION("""COMPUTED_VALUE"""),"Rwanda")</f>
        <v>Rwanda</v>
      </c>
      <c r="B176" s="2">
        <f>IFERROR(__xludf.DUMMYFUNCTION("""COMPUTED_VALUE"""),66000.0)</f>
        <v>66000</v>
      </c>
      <c r="C176" s="2">
        <f>IFERROR(__xludf.DUMMYFUNCTION("""COMPUTED_VALUE"""),1.216E7)</f>
        <v>12160000</v>
      </c>
      <c r="D176" s="1">
        <f>IFERROR(__xludf.DUMMYFUNCTION("""COMPUTED_VALUE"""),0.5)</f>
        <v>0.5</v>
      </c>
      <c r="E176" s="2">
        <f>IFERROR(__xludf.DUMMYFUNCTION("""COMPUTED_VALUE"""),66500.0)</f>
        <v>66500</v>
      </c>
      <c r="F176" s="2">
        <f>IFERROR(__xludf.DUMMYFUNCTION("""COMPUTED_VALUE"""),14000.0)</f>
        <v>14000</v>
      </c>
    </row>
    <row r="177">
      <c r="A177" s="1" t="str">
        <f>IFERROR(__xludf.DUMMYFUNCTION("""COMPUTED_VALUE"""),"Saint Kitts and Nevis")</f>
        <v>Saint Kitts and Nevis</v>
      </c>
      <c r="B177" s="2">
        <f>IFERROR(__xludf.DUMMYFUNCTION("""COMPUTED_VALUE"""),2000.0)</f>
        <v>2000</v>
      </c>
      <c r="C177" s="2">
        <f>IFERROR(__xludf.DUMMYFUNCTION("""COMPUTED_VALUE"""),57000.0)</f>
        <v>57000</v>
      </c>
      <c r="D177" s="1">
        <f>IFERROR(__xludf.DUMMYFUNCTION("""COMPUTED_VALUE"""),3.4)</f>
        <v>3.4</v>
      </c>
      <c r="E177" s="1" t="str">
        <f>IFERROR(__xludf.DUMMYFUNCTION("""COMPUTED_VALUE"""),"-")</f>
        <v>-</v>
      </c>
      <c r="F177" s="1">
        <f>IFERROR(__xludf.DUMMYFUNCTION("""COMPUTED_VALUE"""),600.0)</f>
        <v>600</v>
      </c>
    </row>
    <row r="178">
      <c r="A178" s="1" t="str">
        <f>IFERROR(__xludf.DUMMYFUNCTION("""COMPUTED_VALUE"""),"Saint Lucia")</f>
        <v>Saint Lucia</v>
      </c>
      <c r="B178" s="2">
        <f>IFERROR(__xludf.DUMMYFUNCTION("""COMPUTED_VALUE"""),6000.0)</f>
        <v>6000</v>
      </c>
      <c r="C178" s="2">
        <f>IFERROR(__xludf.DUMMYFUNCTION("""COMPUTED_VALUE"""),188000.0)</f>
        <v>188000</v>
      </c>
      <c r="D178" s="1">
        <f>IFERROR(__xludf.DUMMYFUNCTION("""COMPUTED_VALUE"""),3.4)</f>
        <v>3.4</v>
      </c>
      <c r="E178" s="1" t="str">
        <f>IFERROR(__xludf.DUMMYFUNCTION("""COMPUTED_VALUE"""),"-")</f>
        <v>-</v>
      </c>
      <c r="F178" s="2">
        <f>IFERROR(__xludf.DUMMYFUNCTION("""COMPUTED_VALUE"""),1000.0)</f>
        <v>1000</v>
      </c>
    </row>
    <row r="179">
      <c r="A179" s="1" t="str">
        <f>IFERROR(__xludf.DUMMYFUNCTION("""COMPUTED_VALUE"""),"Saint Martin (France)")</f>
        <v>Saint Martin (France)</v>
      </c>
      <c r="B179" s="2">
        <f>IFERROR(__xludf.DUMMYFUNCTION("""COMPUTED_VALUE"""),3000.0)</f>
        <v>3000</v>
      </c>
      <c r="C179" s="2">
        <f>IFERROR(__xludf.DUMMYFUNCTION("""COMPUTED_VALUE"""),32000.0)</f>
        <v>32000</v>
      </c>
      <c r="D179" s="1">
        <f>IFERROR(__xludf.DUMMYFUNCTION("""COMPUTED_VALUE"""),8.5)</f>
        <v>8.5</v>
      </c>
      <c r="E179" s="1" t="str">
        <f>IFERROR(__xludf.DUMMYFUNCTION("""COMPUTED_VALUE"""),"-")</f>
        <v>-</v>
      </c>
      <c r="F179" s="1">
        <f>IFERROR(__xludf.DUMMYFUNCTION("""COMPUTED_VALUE"""),100.0)</f>
        <v>100</v>
      </c>
    </row>
    <row r="180">
      <c r="A180" s="1" t="str">
        <f>IFERROR(__xludf.DUMMYFUNCTION("""COMPUTED_VALUE"""),"Saint Vincent and the Grenadines")</f>
        <v>Saint Vincent and the Grenadines</v>
      </c>
      <c r="B180" s="2">
        <f>IFERROR(__xludf.DUMMYFUNCTION("""COMPUTED_VALUE"""),4000.0)</f>
        <v>4000</v>
      </c>
      <c r="C180" s="2">
        <f>IFERROR(__xludf.DUMMYFUNCTION("""COMPUTED_VALUE"""),110000.0)</f>
        <v>110000</v>
      </c>
      <c r="D180" s="1">
        <f>IFERROR(__xludf.DUMMYFUNCTION("""COMPUTED_VALUE"""),3.4)</f>
        <v>3.4</v>
      </c>
      <c r="E180" s="1" t="str">
        <f>IFERROR(__xludf.DUMMYFUNCTION("""COMPUTED_VALUE"""),"-")</f>
        <v>-</v>
      </c>
      <c r="F180" s="2">
        <f>IFERROR(__xludf.DUMMYFUNCTION("""COMPUTED_VALUE"""),1000.0)</f>
        <v>1000</v>
      </c>
    </row>
    <row r="181">
      <c r="A181" s="1" t="str">
        <f>IFERROR(__xludf.DUMMYFUNCTION("""COMPUTED_VALUE"""),"Samoa")</f>
        <v>Samoa</v>
      </c>
      <c r="B181" s="2">
        <f>IFERROR(__xludf.DUMMYFUNCTION("""COMPUTED_VALUE"""),20000.0)</f>
        <v>20000</v>
      </c>
      <c r="C181" s="2">
        <f>IFERROR(__xludf.DUMMYFUNCTION("""COMPUTED_VALUE"""),196000.0)</f>
        <v>196000</v>
      </c>
      <c r="D181" s="1">
        <f>IFERROR(__xludf.DUMMYFUNCTION("""COMPUTED_VALUE"""),10.1)</f>
        <v>10.1</v>
      </c>
      <c r="E181" s="1" t="str">
        <f>IFERROR(__xludf.DUMMYFUNCTION("""COMPUTED_VALUE"""),"-")</f>
        <v>-</v>
      </c>
      <c r="F181" s="1">
        <f>IFERROR(__xludf.DUMMYFUNCTION("""COMPUTED_VALUE"""),400.0)</f>
        <v>400</v>
      </c>
    </row>
    <row r="182">
      <c r="A182" s="1" t="str">
        <f>IFERROR(__xludf.DUMMYFUNCTION("""COMPUTED_VALUE"""),"San Marino")</f>
        <v>San Marino</v>
      </c>
      <c r="B182" s="2">
        <f>IFERROR(__xludf.DUMMYFUNCTION("""COMPUTED_VALUE"""),5000.0)</f>
        <v>5000</v>
      </c>
      <c r="C182" s="2">
        <f>IFERROR(__xludf.DUMMYFUNCTION("""COMPUTED_VALUE"""),32000.0)</f>
        <v>32000</v>
      </c>
      <c r="D182" s="1">
        <f>IFERROR(__xludf.DUMMYFUNCTION("""COMPUTED_VALUE"""),14.4)</f>
        <v>14.4</v>
      </c>
      <c r="E182" s="1" t="str">
        <f>IFERROR(__xludf.DUMMYFUNCTION("""COMPUTED_VALUE"""),"-")</f>
        <v>-</v>
      </c>
      <c r="F182" s="1">
        <f>IFERROR(__xludf.DUMMYFUNCTION("""COMPUTED_VALUE"""),300.0)</f>
        <v>300</v>
      </c>
    </row>
    <row r="183">
      <c r="A183" s="1" t="str">
        <f>IFERROR(__xludf.DUMMYFUNCTION("""COMPUTED_VALUE"""),"São Tomé and Principe")</f>
        <v>São Tomé and Principe</v>
      </c>
      <c r="B183" s="2">
        <f>IFERROR(__xludf.DUMMYFUNCTION("""COMPUTED_VALUE"""),7000.0)</f>
        <v>7000</v>
      </c>
      <c r="C183" s="2">
        <f>IFERROR(__xludf.DUMMYFUNCTION("""COMPUTED_VALUE"""),198000.0)</f>
        <v>198000</v>
      </c>
      <c r="D183" s="1">
        <f>IFERROR(__xludf.DUMMYFUNCTION("""COMPUTED_VALUE"""),3.4)</f>
        <v>3.4</v>
      </c>
      <c r="E183" s="1">
        <f>IFERROR(__xludf.DUMMYFUNCTION("""COMPUTED_VALUE"""),570.0)</f>
        <v>570</v>
      </c>
      <c r="F183" s="1">
        <f>IFERROR(__xludf.DUMMYFUNCTION("""COMPUTED_VALUE"""),100.0)</f>
        <v>100</v>
      </c>
    </row>
    <row r="184">
      <c r="A184" s="1" t="str">
        <f>IFERROR(__xludf.DUMMYFUNCTION("""COMPUTED_VALUE"""),"Saudi Arabia")</f>
        <v>Saudi Arabia</v>
      </c>
      <c r="B184" s="2">
        <f>IFERROR(__xludf.DUMMYFUNCTION("""COMPUTED_VALUE"""),5468000.0)</f>
        <v>5468000</v>
      </c>
      <c r="C184" s="2">
        <f>IFERROR(__xludf.DUMMYFUNCTION("""COMPUTED_VALUE"""),3.2743E7)</f>
        <v>32743000</v>
      </c>
      <c r="D184" s="1">
        <f>IFERROR(__xludf.DUMMYFUNCTION("""COMPUTED_VALUE"""),16.7)</f>
        <v>16.7</v>
      </c>
      <c r="E184" s="2">
        <f>IFERROR(__xludf.DUMMYFUNCTION("""COMPUTED_VALUE"""),481350.0)</f>
        <v>481350</v>
      </c>
      <c r="F184" s="2">
        <f>IFERROR(__xludf.DUMMYFUNCTION("""COMPUTED_VALUE"""),214000.0)</f>
        <v>214000</v>
      </c>
    </row>
    <row r="185">
      <c r="A185" s="1" t="str">
        <f>IFERROR(__xludf.DUMMYFUNCTION("""COMPUTED_VALUE"""),"Scotland")</f>
        <v>Scotland</v>
      </c>
      <c r="B185" s="2">
        <f>IFERROR(__xludf.DUMMYFUNCTION("""COMPUTED_VALUE"""),305000.0)</f>
        <v>305000</v>
      </c>
      <c r="C185" s="2">
        <f>IFERROR(__xludf.DUMMYFUNCTION("""COMPUTED_VALUE"""),5436000.0)</f>
        <v>5436000</v>
      </c>
      <c r="D185" s="1">
        <f>IFERROR(__xludf.DUMMYFUNCTION("""COMPUTED_VALUE"""),5.6)</f>
        <v>5.6</v>
      </c>
      <c r="E185" s="1" t="str">
        <f>IFERROR(__xludf.DUMMYFUNCTION("""COMPUTED_VALUE"""),"-")</f>
        <v>-</v>
      </c>
      <c r="F185" s="2">
        <f>IFERROR(__xludf.DUMMYFUNCTION("""COMPUTED_VALUE"""),2000.0)</f>
        <v>2000</v>
      </c>
    </row>
    <row r="186">
      <c r="A186" s="1" t="str">
        <f>IFERROR(__xludf.DUMMYFUNCTION("""COMPUTED_VALUE"""),"Senegal")</f>
        <v>Senegal</v>
      </c>
      <c r="B186" s="2">
        <f>IFERROR(__xludf.DUMMYFUNCTION("""COMPUTED_VALUE"""),323000.0)</f>
        <v>323000</v>
      </c>
      <c r="C186" s="2">
        <f>IFERROR(__xludf.DUMMYFUNCTION("""COMPUTED_VALUE"""),1.6054E7)</f>
        <v>16054000</v>
      </c>
      <c r="D186" s="1">
        <f>IFERROR(__xludf.DUMMYFUNCTION("""COMPUTED_VALUE"""),2.0)</f>
        <v>2</v>
      </c>
      <c r="E186" s="2">
        <f>IFERROR(__xludf.DUMMYFUNCTION("""COMPUTED_VALUE"""),16320.0)</f>
        <v>16320</v>
      </c>
      <c r="F186" s="2">
        <f>IFERROR(__xludf.DUMMYFUNCTION("""COMPUTED_VALUE"""),6000.0)</f>
        <v>6000</v>
      </c>
    </row>
    <row r="187">
      <c r="A187" s="1" t="str">
        <f>IFERROR(__xludf.DUMMYFUNCTION("""COMPUTED_VALUE"""),"Serbia")</f>
        <v>Serbia</v>
      </c>
      <c r="B187" s="2">
        <f>IFERROR(__xludf.DUMMYFUNCTION("""COMPUTED_VALUE"""),2719000.0)</f>
        <v>2719000</v>
      </c>
      <c r="C187" s="2">
        <f>IFERROR(__xludf.DUMMYFUNCTION("""COMPUTED_VALUE"""),6946000.0)</f>
        <v>6946000</v>
      </c>
      <c r="D187" s="1">
        <f>IFERROR(__xludf.DUMMYFUNCTION("""COMPUTED_VALUE"""),39.1)</f>
        <v>39.1</v>
      </c>
      <c r="E187" s="2">
        <f>IFERROR(__xludf.DUMMYFUNCTION("""COMPUTED_VALUE"""),384422.0)</f>
        <v>384422</v>
      </c>
      <c r="F187" s="2">
        <f>IFERROR(__xludf.DUMMYFUNCTION("""COMPUTED_VALUE"""),53100.0)</f>
        <v>53100</v>
      </c>
    </row>
    <row r="188">
      <c r="A188" s="1" t="str">
        <f>IFERROR(__xludf.DUMMYFUNCTION("""COMPUTED_VALUE"""),"Seychelles")</f>
        <v>Seychelles</v>
      </c>
      <c r="B188" s="2">
        <f>IFERROR(__xludf.DUMMYFUNCTION("""COMPUTED_VALUE"""),4000.0)</f>
        <v>4000</v>
      </c>
      <c r="C188" s="2">
        <f>IFERROR(__xludf.DUMMYFUNCTION("""COMPUTED_VALUE"""),98000.0)</f>
        <v>98000</v>
      </c>
      <c r="D188" s="1">
        <f>IFERROR(__xludf.DUMMYFUNCTION("""COMPUTED_VALUE"""),4.1)</f>
        <v>4.1</v>
      </c>
      <c r="E188" s="1">
        <f>IFERROR(__xludf.DUMMYFUNCTION("""COMPUTED_VALUE"""),798.0)</f>
        <v>798</v>
      </c>
      <c r="F188" s="1">
        <f>IFERROR(__xludf.DUMMYFUNCTION("""COMPUTED_VALUE"""),200.0)</f>
        <v>200</v>
      </c>
    </row>
    <row r="189">
      <c r="A189" s="1" t="str">
        <f>IFERROR(__xludf.DUMMYFUNCTION("""COMPUTED_VALUE"""),"Sierra Leone")</f>
        <v>Sierra Leone</v>
      </c>
      <c r="B189" s="2">
        <f>IFERROR(__xludf.DUMMYFUNCTION("""COMPUTED_VALUE"""),35000.0)</f>
        <v>35000</v>
      </c>
      <c r="C189" s="2">
        <f>IFERROR(__xludf.DUMMYFUNCTION("""COMPUTED_VALUE"""),6733000.0)</f>
        <v>6733000</v>
      </c>
      <c r="D189" s="1">
        <f>IFERROR(__xludf.DUMMYFUNCTION("""COMPUTED_VALUE"""),0.5)</f>
        <v>0.5</v>
      </c>
      <c r="E189" s="2">
        <f>IFERROR(__xludf.DUMMYFUNCTION("""COMPUTED_VALUE"""),10200.0)</f>
        <v>10200</v>
      </c>
      <c r="F189" s="2">
        <f>IFERROR(__xludf.DUMMYFUNCTION("""COMPUTED_VALUE"""),12000.0)</f>
        <v>12000</v>
      </c>
    </row>
    <row r="190">
      <c r="A190" s="1" t="str">
        <f>IFERROR(__xludf.DUMMYFUNCTION("""COMPUTED_VALUE"""),"Singapore")</f>
        <v>Singapore</v>
      </c>
      <c r="B190" s="2">
        <f>IFERROR(__xludf.DUMMYFUNCTION("""COMPUTED_VALUE"""),20000.0)</f>
        <v>20000</v>
      </c>
      <c r="C190" s="2">
        <f>IFERROR(__xludf.DUMMYFUNCTION("""COMPUTED_VALUE"""),5785000.0)</f>
        <v>5785000</v>
      </c>
      <c r="D190" s="1">
        <f>IFERROR(__xludf.DUMMYFUNCTION("""COMPUTED_VALUE"""),0.3)</f>
        <v>0.3</v>
      </c>
      <c r="E190" s="2">
        <f>IFERROR(__xludf.DUMMYFUNCTION("""COMPUTED_VALUE"""),574140.0)</f>
        <v>574140</v>
      </c>
      <c r="F190" s="2">
        <f>IFERROR(__xludf.DUMMYFUNCTION("""COMPUTED_VALUE"""),9000.0)</f>
        <v>9000</v>
      </c>
    </row>
    <row r="191">
      <c r="A191" s="1" t="str">
        <f>IFERROR(__xludf.DUMMYFUNCTION("""COMPUTED_VALUE"""),"Sint Maarten (Netherlands)")</f>
        <v>Sint Maarten (Netherlands)</v>
      </c>
      <c r="B191" s="2">
        <f>IFERROR(__xludf.DUMMYFUNCTION("""COMPUTED_VALUE"""),2000.0)</f>
        <v>2000</v>
      </c>
      <c r="C191" s="2">
        <f>IFERROR(__xludf.DUMMYFUNCTION("""COMPUTED_VALUE"""),40000.0)</f>
        <v>40000</v>
      </c>
      <c r="D191" s="1">
        <f>IFERROR(__xludf.DUMMYFUNCTION("""COMPUTED_VALUE"""),4.2)</f>
        <v>4.2</v>
      </c>
      <c r="E191" s="1" t="str">
        <f>IFERROR(__xludf.DUMMYFUNCTION("""COMPUTED_VALUE"""),"-")</f>
        <v>-</v>
      </c>
      <c r="F191" s="1">
        <f>IFERROR(__xludf.DUMMYFUNCTION("""COMPUTED_VALUE"""),300.0)</f>
        <v>300</v>
      </c>
    </row>
    <row r="192">
      <c r="A192" s="1" t="str">
        <f>IFERROR(__xludf.DUMMYFUNCTION("""COMPUTED_VALUE"""),"Slovakia")</f>
        <v>Slovakia</v>
      </c>
      <c r="B192" s="2">
        <f>IFERROR(__xludf.DUMMYFUNCTION("""COMPUTED_VALUE"""),355000.0)</f>
        <v>355000</v>
      </c>
      <c r="C192" s="2">
        <f>IFERROR(__xludf.DUMMYFUNCTION("""COMPUTED_VALUE"""),5432000.0)</f>
        <v>5432000</v>
      </c>
      <c r="D192" s="1">
        <f>IFERROR(__xludf.DUMMYFUNCTION("""COMPUTED_VALUE"""),6.5)</f>
        <v>6.5</v>
      </c>
      <c r="E192" s="2">
        <f>IFERROR(__xludf.DUMMYFUNCTION("""COMPUTED_VALUE"""),33150.0)</f>
        <v>33150</v>
      </c>
      <c r="F192" s="2">
        <f>IFERROR(__xludf.DUMMYFUNCTION("""COMPUTED_VALUE"""),43000.0)</f>
        <v>43000</v>
      </c>
    </row>
    <row r="193">
      <c r="A193" s="1" t="str">
        <f>IFERROR(__xludf.DUMMYFUNCTION("""COMPUTED_VALUE"""),"Slovenia")</f>
        <v>Slovenia</v>
      </c>
      <c r="B193" s="2">
        <f>IFERROR(__xludf.DUMMYFUNCTION("""COMPUTED_VALUE"""),324000.0)</f>
        <v>324000</v>
      </c>
      <c r="C193" s="2">
        <f>IFERROR(__xludf.DUMMYFUNCTION("""COMPUTED_VALUE"""),2071000.0)</f>
        <v>2071000</v>
      </c>
      <c r="D193" s="1">
        <f>IFERROR(__xludf.DUMMYFUNCTION("""COMPUTED_VALUE"""),15.6)</f>
        <v>15.6</v>
      </c>
      <c r="E193" s="2">
        <f>IFERROR(__xludf.DUMMYFUNCTION("""COMPUTED_VALUE"""),131686.0)</f>
        <v>131686</v>
      </c>
      <c r="F193" s="2">
        <f>IFERROR(__xludf.DUMMYFUNCTION("""COMPUTED_VALUE"""),13000.0)</f>
        <v>13000</v>
      </c>
    </row>
    <row r="194">
      <c r="A194" s="1" t="str">
        <f>IFERROR(__xludf.DUMMYFUNCTION("""COMPUTED_VALUE"""),"Solomon Islands")</f>
        <v>Solomon Islands</v>
      </c>
      <c r="B194" s="2">
        <f>IFERROR(__xludf.DUMMYFUNCTION("""COMPUTED_VALUE"""),1000.0)</f>
        <v>1000</v>
      </c>
      <c r="C194" s="2">
        <f>IFERROR(__xludf.DUMMYFUNCTION("""COMPUTED_VALUE"""),606000.0)</f>
        <v>606000</v>
      </c>
      <c r="D194" s="1">
        <f>IFERROR(__xludf.DUMMYFUNCTION("""COMPUTED_VALUE"""),0.2)</f>
        <v>0.2</v>
      </c>
      <c r="E194" s="1" t="str">
        <f>IFERROR(__xludf.DUMMYFUNCTION("""COMPUTED_VALUE"""),"-")</f>
        <v>-</v>
      </c>
      <c r="F194" s="1">
        <f>IFERROR(__xludf.DUMMYFUNCTION("""COMPUTED_VALUE"""),70.0)</f>
        <v>70</v>
      </c>
    </row>
    <row r="195">
      <c r="A195" s="1" t="str">
        <f>IFERROR(__xludf.DUMMYFUNCTION("""COMPUTED_VALUE"""),"Somalia")</f>
        <v>Somalia</v>
      </c>
      <c r="B195" s="2">
        <f>IFERROR(__xludf.DUMMYFUNCTION("""COMPUTED_VALUE"""),1145000.0)</f>
        <v>1145000</v>
      </c>
      <c r="C195" s="2">
        <f>IFERROR(__xludf.DUMMYFUNCTION("""COMPUTED_VALUE"""),9225000.0)</f>
        <v>9225000</v>
      </c>
      <c r="D195" s="1">
        <f>IFERROR(__xludf.DUMMYFUNCTION("""COMPUTED_VALUE"""),12.4)</f>
        <v>12.4</v>
      </c>
      <c r="E195" s="2">
        <f>IFERROR(__xludf.DUMMYFUNCTION("""COMPUTED_VALUE"""),37620.0)</f>
        <v>37620</v>
      </c>
      <c r="F195" s="2">
        <f>IFERROR(__xludf.DUMMYFUNCTION("""COMPUTED_VALUE"""),8000.0)</f>
        <v>8000</v>
      </c>
    </row>
    <row r="196">
      <c r="A196" s="1" t="str">
        <f>IFERROR(__xludf.DUMMYFUNCTION("""COMPUTED_VALUE"""),"Somaliland")</f>
        <v>Somaliland</v>
      </c>
      <c r="B196" s="2">
        <f>IFERROR(__xludf.DUMMYFUNCTION("""COMPUTED_VALUE"""),456000.0)</f>
        <v>456000</v>
      </c>
      <c r="C196" s="2">
        <f>IFERROR(__xludf.DUMMYFUNCTION("""COMPUTED_VALUE"""),3823000.0)</f>
        <v>3823000</v>
      </c>
      <c r="D196" s="1">
        <f>IFERROR(__xludf.DUMMYFUNCTION("""COMPUTED_VALUE"""),11.9)</f>
        <v>11.9</v>
      </c>
      <c r="E196" s="2">
        <f>IFERROR(__xludf.DUMMYFUNCTION("""COMPUTED_VALUE"""),23750.0)</f>
        <v>23750</v>
      </c>
      <c r="F196" s="2">
        <f>IFERROR(__xludf.DUMMYFUNCTION("""COMPUTED_VALUE"""),4000.0)</f>
        <v>4000</v>
      </c>
    </row>
    <row r="197">
      <c r="A197" s="1" t="str">
        <f>IFERROR(__xludf.DUMMYFUNCTION("""COMPUTED_VALUE"""),"South Africa")</f>
        <v>South Africa</v>
      </c>
      <c r="B197" s="2">
        <f>IFERROR(__xludf.DUMMYFUNCTION("""COMPUTED_VALUE"""),5351000.0)</f>
        <v>5351000</v>
      </c>
      <c r="C197" s="2">
        <f>IFERROR(__xludf.DUMMYFUNCTION("""COMPUTED_VALUE"""),5.5436E7)</f>
        <v>55436000</v>
      </c>
      <c r="D197" s="1">
        <f>IFERROR(__xludf.DUMMYFUNCTION("""COMPUTED_VALUE"""),9.7)</f>
        <v>9.7</v>
      </c>
      <c r="E197" s="2">
        <f>IFERROR(__xludf.DUMMYFUNCTION("""COMPUTED_VALUE"""),350636.0)</f>
        <v>350636</v>
      </c>
      <c r="F197" s="2">
        <f>IFERROR(__xludf.DUMMYFUNCTION("""COMPUTED_VALUE"""),250481.0)</f>
        <v>250481</v>
      </c>
    </row>
    <row r="198">
      <c r="A198" s="1" t="str">
        <f>IFERROR(__xludf.DUMMYFUNCTION("""COMPUTED_VALUE"""),"South Sudan")</f>
        <v>South Sudan</v>
      </c>
      <c r="B198" s="2">
        <f>IFERROR(__xludf.DUMMYFUNCTION("""COMPUTED_VALUE"""),1255000.0)</f>
        <v>1255000</v>
      </c>
      <c r="C198" s="2">
        <f>IFERROR(__xludf.DUMMYFUNCTION("""COMPUTED_VALUE"""),1.3096E7)</f>
        <v>13096000</v>
      </c>
      <c r="D198" s="1">
        <f>IFERROR(__xludf.DUMMYFUNCTION("""COMPUTED_VALUE"""),9.6)</f>
        <v>9.6</v>
      </c>
      <c r="E198" s="2">
        <f>IFERROR(__xludf.DUMMYFUNCTION("""COMPUTED_VALUE"""),351500.0)</f>
        <v>351500</v>
      </c>
      <c r="F198" s="2">
        <f>IFERROR(__xludf.DUMMYFUNCTION("""COMPUTED_VALUE"""),42000.0)</f>
        <v>42000</v>
      </c>
    </row>
    <row r="199">
      <c r="A199" s="1" t="str">
        <f>IFERROR(__xludf.DUMMYFUNCTION("""COMPUTED_VALUE"""),"Spain")</f>
        <v>Spain</v>
      </c>
      <c r="B199" s="2">
        <f>IFERROR(__xludf.DUMMYFUNCTION("""COMPUTED_VALUE"""),3464000.0)</f>
        <v>3464000</v>
      </c>
      <c r="C199" s="2">
        <f>IFERROR(__xludf.DUMMYFUNCTION("""COMPUTED_VALUE"""),4.607E7)</f>
        <v>46070000</v>
      </c>
      <c r="D199" s="1">
        <f>IFERROR(__xludf.DUMMYFUNCTION("""COMPUTED_VALUE"""),7.5)</f>
        <v>7.5</v>
      </c>
      <c r="E199" s="2">
        <f>IFERROR(__xludf.DUMMYFUNCTION("""COMPUTED_VALUE"""),333660.0)</f>
        <v>333660</v>
      </c>
      <c r="F199" s="2">
        <f>IFERROR(__xludf.DUMMYFUNCTION("""COMPUTED_VALUE"""),264196.0)</f>
        <v>264196</v>
      </c>
    </row>
    <row r="200">
      <c r="A200" s="1" t="str">
        <f>IFERROR(__xludf.DUMMYFUNCTION("""COMPUTED_VALUE"""),"Sri Lanka")</f>
        <v>Sri Lanka</v>
      </c>
      <c r="B200" s="2">
        <f>IFERROR(__xludf.DUMMYFUNCTION("""COMPUTED_VALUE"""),494000.0)</f>
        <v>494000</v>
      </c>
      <c r="C200" s="2">
        <f>IFERROR(__xludf.DUMMYFUNCTION("""COMPUTED_VALUE"""),2.0905E7)</f>
        <v>20905000</v>
      </c>
      <c r="D200" s="1">
        <f>IFERROR(__xludf.DUMMYFUNCTION("""COMPUTED_VALUE"""),2.4)</f>
        <v>2.4</v>
      </c>
      <c r="E200" s="2">
        <f>IFERROR(__xludf.DUMMYFUNCTION("""COMPUTED_VALUE"""),509700.0)</f>
        <v>509700</v>
      </c>
      <c r="F200" s="2">
        <f>IFERROR(__xludf.DUMMYFUNCTION("""COMPUTED_VALUE"""),134000.0)</f>
        <v>134000</v>
      </c>
    </row>
    <row r="201">
      <c r="A201" s="1" t="str">
        <f>IFERROR(__xludf.DUMMYFUNCTION("""COMPUTED_VALUE"""),"Sudan")</f>
        <v>Sudan</v>
      </c>
      <c r="B201" s="2">
        <f>IFERROR(__xludf.DUMMYFUNCTION("""COMPUTED_VALUE"""),2768000.0)</f>
        <v>2768000</v>
      </c>
      <c r="C201" s="2">
        <f>IFERROR(__xludf.DUMMYFUNCTION("""COMPUTED_VALUE"""),4.2166E7)</f>
        <v>42166000</v>
      </c>
      <c r="D201" s="1">
        <f>IFERROR(__xludf.DUMMYFUNCTION("""COMPUTED_VALUE"""),6.6)</f>
        <v>6.6</v>
      </c>
      <c r="E201" s="2">
        <f>IFERROR(__xludf.DUMMYFUNCTION("""COMPUTED_VALUE"""),590170.0)</f>
        <v>590170</v>
      </c>
      <c r="F201" s="2">
        <f>IFERROR(__xludf.DUMMYFUNCTION("""COMPUTED_VALUE"""),129000.0)</f>
        <v>129000</v>
      </c>
    </row>
    <row r="202">
      <c r="A202" s="1" t="str">
        <f>IFERROR(__xludf.DUMMYFUNCTION("""COMPUTED_VALUE"""),"Suriname")</f>
        <v>Suriname</v>
      </c>
      <c r="B202" s="2">
        <f>IFERROR(__xludf.DUMMYFUNCTION("""COMPUTED_VALUE"""),88000.0)</f>
        <v>88000</v>
      </c>
      <c r="C202" s="2">
        <f>IFERROR(__xludf.DUMMYFUNCTION("""COMPUTED_VALUE"""),552000.0)</f>
        <v>552000</v>
      </c>
      <c r="D202" s="1">
        <f>IFERROR(__xludf.DUMMYFUNCTION("""COMPUTED_VALUE"""),15.9)</f>
        <v>15.9</v>
      </c>
      <c r="E202" s="2">
        <f>IFERROR(__xludf.DUMMYFUNCTION("""COMPUTED_VALUE"""),5985.0)</f>
        <v>5985</v>
      </c>
      <c r="F202" s="2">
        <f>IFERROR(__xludf.DUMMYFUNCTION("""COMPUTED_VALUE"""),2000.0)</f>
        <v>2000</v>
      </c>
    </row>
    <row r="203">
      <c r="A203" s="1" t="str">
        <f>IFERROR(__xludf.DUMMYFUNCTION("""COMPUTED_VALUE"""),"Swaziland")</f>
        <v>Swaziland</v>
      </c>
      <c r="B203" s="2">
        <f>IFERROR(__xludf.DUMMYFUNCTION("""COMPUTED_VALUE"""),64000.0)</f>
        <v>64000</v>
      </c>
      <c r="C203" s="2">
        <f>IFERROR(__xludf.DUMMYFUNCTION("""COMPUTED_VALUE"""),1320000.0)</f>
        <v>1320000</v>
      </c>
      <c r="D203" s="1">
        <f>IFERROR(__xludf.DUMMYFUNCTION("""COMPUTED_VALUE"""),4.8)</f>
        <v>4.8</v>
      </c>
      <c r="E203" s="2">
        <f>IFERROR(__xludf.DUMMYFUNCTION("""COMPUTED_VALUE"""),5700.0)</f>
        <v>5700</v>
      </c>
      <c r="F203" s="2">
        <f>IFERROR(__xludf.DUMMYFUNCTION("""COMPUTED_VALUE"""),4000.0)</f>
        <v>4000</v>
      </c>
    </row>
    <row r="204">
      <c r="A204" s="1" t="str">
        <f>IFERROR(__xludf.DUMMYFUNCTION("""COMPUTED_VALUE"""),"Sweden")</f>
        <v>Sweden</v>
      </c>
      <c r="B204" s="2">
        <f>IFERROR(__xludf.DUMMYFUNCTION("""COMPUTED_VALUE"""),2296000.0)</f>
        <v>2296000</v>
      </c>
      <c r="C204" s="2">
        <f>IFERROR(__xludf.DUMMYFUNCTION("""COMPUTED_VALUE"""),9921000.0)</f>
        <v>9921000</v>
      </c>
      <c r="D204" s="1">
        <f>IFERROR(__xludf.DUMMYFUNCTION("""COMPUTED_VALUE"""),23.1)</f>
        <v>23.1</v>
      </c>
      <c r="E204" s="2">
        <f>IFERROR(__xludf.DUMMYFUNCTION("""COMPUTED_VALUE"""),139180.0)</f>
        <v>139180</v>
      </c>
      <c r="F204" s="2">
        <f>IFERROR(__xludf.DUMMYFUNCTION("""COMPUTED_VALUE"""),38000.0)</f>
        <v>38000</v>
      </c>
    </row>
    <row r="205">
      <c r="A205" s="1" t="str">
        <f>IFERROR(__xludf.DUMMYFUNCTION("""COMPUTED_VALUE"""),"Switzerland")</f>
        <v>Switzerland</v>
      </c>
      <c r="B205" s="2">
        <f>IFERROR(__xludf.DUMMYFUNCTION("""COMPUTED_VALUE"""),2332000.0)</f>
        <v>2332000</v>
      </c>
      <c r="C205" s="2">
        <f>IFERROR(__xludf.DUMMYFUNCTION("""COMPUTED_VALUE"""),8454000.0)</f>
        <v>8454000</v>
      </c>
      <c r="D205" s="1">
        <f>IFERROR(__xludf.DUMMYFUNCTION("""COMPUTED_VALUE"""),27.6)</f>
        <v>27.6</v>
      </c>
      <c r="E205" s="2">
        <f>IFERROR(__xludf.DUMMYFUNCTION("""COMPUTED_VALUE"""),324484.0)</f>
        <v>324484</v>
      </c>
      <c r="F205" s="2">
        <f>IFERROR(__xludf.DUMMYFUNCTION("""COMPUTED_VALUE"""),34000.0)</f>
        <v>34000</v>
      </c>
    </row>
    <row r="206">
      <c r="A206" s="1" t="str">
        <f>IFERROR(__xludf.DUMMYFUNCTION("""COMPUTED_VALUE"""),"Syrian Arab Republic")</f>
        <v>Syrian Arab Republic</v>
      </c>
      <c r="B206" s="2">
        <f>IFERROR(__xludf.DUMMYFUNCTION("""COMPUTED_VALUE"""),1547000.0)</f>
        <v>1547000</v>
      </c>
      <c r="C206" s="2">
        <f>IFERROR(__xludf.DUMMYFUNCTION("""COMPUTED_VALUE"""),1.8907E7)</f>
        <v>18907000</v>
      </c>
      <c r="D206" s="1">
        <f>IFERROR(__xludf.DUMMYFUNCTION("""COMPUTED_VALUE"""),8.2)</f>
        <v>8.2</v>
      </c>
      <c r="E206" s="2">
        <f>IFERROR(__xludf.DUMMYFUNCTION("""COMPUTED_VALUE"""),655500.0)</f>
        <v>655500</v>
      </c>
      <c r="F206" s="2">
        <f>IFERROR(__xludf.DUMMYFUNCTION("""COMPUTED_VALUE"""),124000.0)</f>
        <v>124000</v>
      </c>
    </row>
    <row r="207">
      <c r="A207" s="1" t="str">
        <f>IFERROR(__xludf.DUMMYFUNCTION("""COMPUTED_VALUE"""),"Taiwan (Republic of China)")</f>
        <v>Taiwan (Republic of China)</v>
      </c>
      <c r="B207" s="2">
        <f>IFERROR(__xludf.DUMMYFUNCTION("""COMPUTED_VALUE"""),10000.0)</f>
        <v>10000</v>
      </c>
      <c r="C207" s="2">
        <f>IFERROR(__xludf.DUMMYFUNCTION("""COMPUTED_VALUE"""),2.3405E7)</f>
        <v>23405000</v>
      </c>
      <c r="D207" s="1">
        <f>IFERROR(__xludf.DUMMYFUNCTION("""COMPUTED_VALUE"""),0.0)</f>
        <v>0</v>
      </c>
      <c r="E207" s="2">
        <f>IFERROR(__xludf.DUMMYFUNCTION("""COMPUTED_VALUE"""),2022150.0)</f>
        <v>2022150</v>
      </c>
      <c r="F207" s="2">
        <f>IFERROR(__xludf.DUMMYFUNCTION("""COMPUTED_VALUE"""),76000.0)</f>
        <v>76000</v>
      </c>
    </row>
    <row r="208">
      <c r="A208" s="1" t="str">
        <f>IFERROR(__xludf.DUMMYFUNCTION("""COMPUTED_VALUE"""),"Tajikistan")</f>
        <v>Tajikistan</v>
      </c>
      <c r="B208" s="2">
        <f>IFERROR(__xludf.DUMMYFUNCTION("""COMPUTED_VALUE"""),37000.0)</f>
        <v>37000</v>
      </c>
      <c r="C208" s="2">
        <f>IFERROR(__xludf.DUMMYFUNCTION("""COMPUTED_VALUE"""),8858000.0)</f>
        <v>8858000</v>
      </c>
      <c r="D208" s="1">
        <f>IFERROR(__xludf.DUMMYFUNCTION("""COMPUTED_VALUE"""),0.4)</f>
        <v>0.4</v>
      </c>
      <c r="E208" s="2">
        <f>IFERROR(__xludf.DUMMYFUNCTION("""COMPUTED_VALUE"""),56490.0)</f>
        <v>56490</v>
      </c>
      <c r="F208" s="2">
        <f>IFERROR(__xludf.DUMMYFUNCTION("""COMPUTED_VALUE"""),9000.0)</f>
        <v>9000</v>
      </c>
    </row>
    <row r="209">
      <c r="A209" s="1" t="str">
        <f>IFERROR(__xludf.DUMMYFUNCTION("""COMPUTED_VALUE"""),"Tanzania, United Republic of Africa")</f>
        <v>Tanzania, United Republic of Africa</v>
      </c>
      <c r="B209" s="2">
        <f>IFERROR(__xludf.DUMMYFUNCTION("""COMPUTED_VALUE"""),427000.0)</f>
        <v>427000</v>
      </c>
      <c r="C209" s="2">
        <f>IFERROR(__xludf.DUMMYFUNCTION("""COMPUTED_VALUE"""),5.6878E7)</f>
        <v>56878000</v>
      </c>
      <c r="D209" s="1">
        <f>IFERROR(__xludf.DUMMYFUNCTION("""COMPUTED_VALUE"""),0.8)</f>
        <v>0.8</v>
      </c>
      <c r="E209" s="2">
        <f>IFERROR(__xludf.DUMMYFUNCTION("""COMPUTED_VALUE"""),190050.0)</f>
        <v>190050</v>
      </c>
      <c r="F209" s="2">
        <f>IFERROR(__xludf.DUMMYFUNCTION("""COMPUTED_VALUE"""),37000.0)</f>
        <v>37000</v>
      </c>
    </row>
    <row r="210">
      <c r="A210" s="1" t="str">
        <f>IFERROR(__xludf.DUMMYFUNCTION("""COMPUTED_VALUE"""),"Thailand")</f>
        <v>Thailand</v>
      </c>
      <c r="B210" s="2">
        <f>IFERROR(__xludf.DUMMYFUNCTION("""COMPUTED_VALUE"""),1.0342E7)</f>
        <v>10342000</v>
      </c>
      <c r="C210" s="2">
        <f>IFERROR(__xludf.DUMMYFUNCTION("""COMPUTED_VALUE"""),6.8298E7)</f>
        <v>68298000</v>
      </c>
      <c r="D210" s="1">
        <f>IFERROR(__xludf.DUMMYFUNCTION("""COMPUTED_VALUE"""),15.1)</f>
        <v>15.1</v>
      </c>
      <c r="E210" s="2">
        <f>IFERROR(__xludf.DUMMYFUNCTION("""COMPUTED_VALUE"""),1052815.0)</f>
        <v>1052815</v>
      </c>
      <c r="F210" s="2">
        <f>IFERROR(__xludf.DUMMYFUNCTION("""COMPUTED_VALUE"""),230000.0)</f>
        <v>230000</v>
      </c>
    </row>
    <row r="211">
      <c r="A211" s="1" t="str">
        <f>IFERROR(__xludf.DUMMYFUNCTION("""COMPUTED_VALUE"""),"Timor-Leste (East Timor)")</f>
        <v>Timor-Leste (East Timor)</v>
      </c>
      <c r="B211" s="2">
        <f>IFERROR(__xludf.DUMMYFUNCTION("""COMPUTED_VALUE"""),3000.0)</f>
        <v>3000</v>
      </c>
      <c r="C211" s="2">
        <f>IFERROR(__xludf.DUMMYFUNCTION("""COMPUTED_VALUE"""),1237000.0)</f>
        <v>1237000</v>
      </c>
      <c r="D211" s="1">
        <f>IFERROR(__xludf.DUMMYFUNCTION("""COMPUTED_VALUE"""),0.3)</f>
        <v>0.3</v>
      </c>
      <c r="E211" s="2">
        <f>IFERROR(__xludf.DUMMYFUNCTION("""COMPUTED_VALUE"""),2527.0)</f>
        <v>2527</v>
      </c>
      <c r="F211" s="2">
        <f>IFERROR(__xludf.DUMMYFUNCTION("""COMPUTED_VALUE"""),4000.0)</f>
        <v>4000</v>
      </c>
    </row>
    <row r="212">
      <c r="A212" s="1" t="str">
        <f>IFERROR(__xludf.DUMMYFUNCTION("""COMPUTED_VALUE"""),"Togo")</f>
        <v>Togo</v>
      </c>
      <c r="B212" s="2">
        <f>IFERROR(__xludf.DUMMYFUNCTION("""COMPUTED_VALUE"""),58000.0)</f>
        <v>58000</v>
      </c>
      <c r="C212" s="2">
        <f>IFERROR(__xludf.DUMMYFUNCTION("""COMPUTED_VALUE"""),7692000.0)</f>
        <v>7692000</v>
      </c>
      <c r="D212" s="1">
        <f>IFERROR(__xludf.DUMMYFUNCTION("""COMPUTED_VALUE"""),0.8)</f>
        <v>0.8</v>
      </c>
      <c r="E212" s="2">
        <f>IFERROR(__xludf.DUMMYFUNCTION("""COMPUTED_VALUE"""),12850.0)</f>
        <v>12850</v>
      </c>
      <c r="F212" s="2">
        <f>IFERROR(__xludf.DUMMYFUNCTION("""COMPUTED_VALUE"""),5000.0)</f>
        <v>5000</v>
      </c>
    </row>
    <row r="213">
      <c r="A213" s="1" t="str">
        <f>IFERROR(__xludf.DUMMYFUNCTION("""COMPUTED_VALUE"""),"Tonga")</f>
        <v>Tonga</v>
      </c>
      <c r="B213" s="2">
        <f>IFERROR(__xludf.DUMMYFUNCTION("""COMPUTED_VALUE"""),9000.0)</f>
        <v>9000</v>
      </c>
      <c r="C213" s="2">
        <f>IFERROR(__xludf.DUMMYFUNCTION("""COMPUTED_VALUE"""),108000.0)</f>
        <v>108000</v>
      </c>
      <c r="D213" s="1">
        <f>IFERROR(__xludf.DUMMYFUNCTION("""COMPUTED_VALUE"""),8.0)</f>
        <v>8</v>
      </c>
      <c r="E213" s="1" t="str">
        <f>IFERROR(__xludf.DUMMYFUNCTION("""COMPUTED_VALUE"""),"-")</f>
        <v>-</v>
      </c>
      <c r="F213" s="1">
        <f>IFERROR(__xludf.DUMMYFUNCTION("""COMPUTED_VALUE"""),200.0)</f>
        <v>200</v>
      </c>
    </row>
    <row r="214">
      <c r="A214" s="1" t="str">
        <f>IFERROR(__xludf.DUMMYFUNCTION("""COMPUTED_VALUE"""),"Trinidad and Tobago")</f>
        <v>Trinidad and Tobago</v>
      </c>
      <c r="B214" s="2">
        <f>IFERROR(__xludf.DUMMYFUNCTION("""COMPUTED_VALUE"""),43000.0)</f>
        <v>43000</v>
      </c>
      <c r="C214" s="2">
        <f>IFERROR(__xludf.DUMMYFUNCTION("""COMPUTED_VALUE"""),1369000.0)</f>
        <v>1369000</v>
      </c>
      <c r="D214" s="1">
        <f>IFERROR(__xludf.DUMMYFUNCTION("""COMPUTED_VALUE"""),3.2)</f>
        <v>3.2</v>
      </c>
      <c r="E214" s="2">
        <f>IFERROR(__xludf.DUMMYFUNCTION("""COMPUTED_VALUE"""),7695.0)</f>
        <v>7695</v>
      </c>
      <c r="F214" s="2">
        <f>IFERROR(__xludf.DUMMYFUNCTION("""COMPUTED_VALUE"""),9000.0)</f>
        <v>9000</v>
      </c>
    </row>
    <row r="215">
      <c r="A215" s="1" t="str">
        <f>IFERROR(__xludf.DUMMYFUNCTION("""COMPUTED_VALUE"""),"Tunisia")</f>
        <v>Tunisia</v>
      </c>
      <c r="B215" s="2">
        <f>IFERROR(__xludf.DUMMYFUNCTION("""COMPUTED_VALUE"""),123000.0)</f>
        <v>123000</v>
      </c>
      <c r="C215" s="2">
        <f>IFERROR(__xludf.DUMMYFUNCTION("""COMPUTED_VALUE"""),1.1495E7)</f>
        <v>11495000</v>
      </c>
      <c r="D215" s="1">
        <f>IFERROR(__xludf.DUMMYFUNCTION("""COMPUTED_VALUE"""),1.1)</f>
        <v>1.1</v>
      </c>
      <c r="E215" s="2">
        <f>IFERROR(__xludf.DUMMYFUNCTION("""COMPUTED_VALUE"""),68020.0)</f>
        <v>68020</v>
      </c>
      <c r="F215" s="2">
        <f>IFERROR(__xludf.DUMMYFUNCTION("""COMPUTED_VALUE"""),73000.0)</f>
        <v>73000</v>
      </c>
    </row>
    <row r="216">
      <c r="A216" s="1" t="str">
        <f>IFERROR(__xludf.DUMMYFUNCTION("""COMPUTED_VALUE"""),"Turkey")</f>
        <v>Turkey</v>
      </c>
      <c r="B216" s="2">
        <f>IFERROR(__xludf.DUMMYFUNCTION("""COMPUTED_VALUE"""),1.3249E7)</f>
        <v>13249000</v>
      </c>
      <c r="C216" s="2">
        <f>IFERROR(__xludf.DUMMYFUNCTION("""COMPUTED_VALUE"""),8.0418E7)</f>
        <v>80418000</v>
      </c>
      <c r="D216" s="1">
        <f>IFERROR(__xludf.DUMMYFUNCTION("""COMPUTED_VALUE"""),16.5)</f>
        <v>16.5</v>
      </c>
      <c r="E216" s="2">
        <f>IFERROR(__xludf.DUMMYFUNCTION("""COMPUTED_VALUE"""),1390180.0)</f>
        <v>1390180</v>
      </c>
      <c r="F216" s="2">
        <f>IFERROR(__xludf.DUMMYFUNCTION("""COMPUTED_VALUE"""),620000.0)</f>
        <v>620000</v>
      </c>
    </row>
    <row r="217">
      <c r="A217" s="1" t="str">
        <f>IFERROR(__xludf.DUMMYFUNCTION("""COMPUTED_VALUE"""),"Turkmenistan")</f>
        <v>Turkmenistan</v>
      </c>
      <c r="B217" s="2">
        <f>IFERROR(__xludf.DUMMYFUNCTION("""COMPUTED_VALUE"""),23000.0)</f>
        <v>23000</v>
      </c>
      <c r="C217" s="2">
        <f>IFERROR(__xludf.DUMMYFUNCTION("""COMPUTED_VALUE"""),5503000.0)</f>
        <v>5503000</v>
      </c>
      <c r="D217" s="1">
        <f>IFERROR(__xludf.DUMMYFUNCTION("""COMPUTED_VALUE"""),0.4)</f>
        <v>0.4</v>
      </c>
      <c r="E217" s="2">
        <f>IFERROR(__xludf.DUMMYFUNCTION("""COMPUTED_VALUE"""),184700.0)</f>
        <v>184700</v>
      </c>
      <c r="F217" s="2">
        <f>IFERROR(__xludf.DUMMYFUNCTION("""COMPUTED_VALUE"""),27000.0)</f>
        <v>27000</v>
      </c>
    </row>
    <row r="218">
      <c r="A218" s="1" t="str">
        <f>IFERROR(__xludf.DUMMYFUNCTION("""COMPUTED_VALUE"""),"Turks and Caicos Islands")</f>
        <v>Turks and Caicos Islands</v>
      </c>
      <c r="B218" s="2">
        <f>IFERROR(__xludf.DUMMYFUNCTION("""COMPUTED_VALUE"""),1000.0)</f>
        <v>1000</v>
      </c>
      <c r="C218" s="2">
        <f>IFERROR(__xludf.DUMMYFUNCTION("""COMPUTED_VALUE"""),35000.0)</f>
        <v>35000</v>
      </c>
      <c r="D218" s="1">
        <f>IFERROR(__xludf.DUMMYFUNCTION("""COMPUTED_VALUE"""),3.3)</f>
        <v>3.3</v>
      </c>
      <c r="E218" s="1" t="str">
        <f>IFERROR(__xludf.DUMMYFUNCTION("""COMPUTED_VALUE"""),"-")</f>
        <v>-</v>
      </c>
      <c r="F218" s="1">
        <f>IFERROR(__xludf.DUMMYFUNCTION("""COMPUTED_VALUE"""),100.0)</f>
        <v>100</v>
      </c>
    </row>
    <row r="219">
      <c r="A219" s="1" t="str">
        <f>IFERROR(__xludf.DUMMYFUNCTION("""COMPUTED_VALUE"""),"Tuvalu")</f>
        <v>Tuvalu</v>
      </c>
      <c r="B219" s="1">
        <f>IFERROR(__xludf.DUMMYFUNCTION("""COMPUTED_VALUE"""),100.0)</f>
        <v>100</v>
      </c>
      <c r="C219" s="2">
        <f>IFERROR(__xludf.DUMMYFUNCTION("""COMPUTED_VALUE"""),10000.0)</f>
        <v>10000</v>
      </c>
      <c r="D219" s="1">
        <f>IFERROR(__xludf.DUMMYFUNCTION("""COMPUTED_VALUE"""),1.2)</f>
        <v>1.2</v>
      </c>
      <c r="E219" s="1" t="str">
        <f>IFERROR(__xludf.DUMMYFUNCTION("""COMPUTED_VALUE"""),"-")</f>
        <v>-</v>
      </c>
      <c r="F219" s="1">
        <f>IFERROR(__xludf.DUMMYFUNCTION("""COMPUTED_VALUE"""),26.0)</f>
        <v>26</v>
      </c>
    </row>
    <row r="220">
      <c r="A220" s="1" t="str">
        <f>IFERROR(__xludf.DUMMYFUNCTION("""COMPUTED_VALUE"""),"Uganda")</f>
        <v>Uganda</v>
      </c>
      <c r="B220" s="2">
        <f>IFERROR(__xludf.DUMMYFUNCTION("""COMPUTED_VALUE"""),331000.0)</f>
        <v>331000</v>
      </c>
      <c r="C220" s="2">
        <f>IFERROR(__xludf.DUMMYFUNCTION("""COMPUTED_VALUE"""),4.1653E7)</f>
        <v>41653000</v>
      </c>
      <c r="D220" s="1">
        <f>IFERROR(__xludf.DUMMYFUNCTION("""COMPUTED_VALUE"""),0.8)</f>
        <v>0.8</v>
      </c>
      <c r="E220" s="2">
        <f>IFERROR(__xludf.DUMMYFUNCTION("""COMPUTED_VALUE"""),116660.0)</f>
        <v>116660</v>
      </c>
      <c r="F220" s="2">
        <f>IFERROR(__xludf.DUMMYFUNCTION("""COMPUTED_VALUE"""),54000.0)</f>
        <v>54000</v>
      </c>
    </row>
    <row r="221">
      <c r="A221" s="1" t="str">
        <f>IFERROR(__xludf.DUMMYFUNCTION("""COMPUTED_VALUE"""),"Ukraine")</f>
        <v>Ukraine</v>
      </c>
      <c r="B221" s="2">
        <f>IFERROR(__xludf.DUMMYFUNCTION("""COMPUTED_VALUE"""),4396000.0)</f>
        <v>4396000</v>
      </c>
      <c r="C221" s="2">
        <f>IFERROR(__xludf.DUMMYFUNCTION("""COMPUTED_VALUE"""),4.4405E7)</f>
        <v>44405000</v>
      </c>
      <c r="D221" s="1">
        <f>IFERROR(__xludf.DUMMYFUNCTION("""COMPUTED_VALUE"""),9.9)</f>
        <v>9.9</v>
      </c>
      <c r="E221" s="2">
        <f>IFERROR(__xludf.DUMMYFUNCTION("""COMPUTED_VALUE"""),6600000.0)</f>
        <v>6600000</v>
      </c>
      <c r="F221" s="2">
        <f>IFERROR(__xludf.DUMMYFUNCTION("""COMPUTED_VALUE"""),289000.0)</f>
        <v>289000</v>
      </c>
    </row>
    <row r="222">
      <c r="A222" s="1" t="str">
        <f>IFERROR(__xludf.DUMMYFUNCTION("""COMPUTED_VALUE"""),"United Arab Emirates")</f>
        <v>United Arab Emirates</v>
      </c>
      <c r="B222" s="2">
        <f>IFERROR(__xludf.DUMMYFUNCTION("""COMPUTED_VALUE"""),1569000.0)</f>
        <v>1569000</v>
      </c>
      <c r="C222" s="2">
        <f>IFERROR(__xludf.DUMMYFUNCTION("""COMPUTED_VALUE"""),9398000.0)</f>
        <v>9398000</v>
      </c>
      <c r="D222" s="1">
        <f>IFERROR(__xludf.DUMMYFUNCTION("""COMPUTED_VALUE"""),16.7)</f>
        <v>16.7</v>
      </c>
      <c r="E222" s="2">
        <f>IFERROR(__xludf.DUMMYFUNCTION("""COMPUTED_VALUE"""),163800.0)</f>
        <v>163800</v>
      </c>
      <c r="F222" s="2">
        <f>IFERROR(__xludf.DUMMYFUNCTION("""COMPUTED_VALUE"""),41000.0)</f>
        <v>41000</v>
      </c>
    </row>
    <row r="223">
      <c r="A223" s="1" t="str">
        <f>IFERROR(__xludf.DUMMYFUNCTION("""COMPUTED_VALUE"""),"United Kingdom
Combined civilian, military and law enforcement numbers for (England and 
Wales), (Northern Ireland) &amp; (Scotland).")</f>
        <v>United Kingdom
Combined civilian, military and law enforcement numbers for (England and 
Wales), (Northern Ireland) &amp; (Scotland).</v>
      </c>
      <c r="B223" s="2">
        <f>IFERROR(__xludf.DUMMYFUNCTION("""COMPUTED_VALUE"""),3242000.0)</f>
        <v>3242000</v>
      </c>
      <c r="C223" s="2">
        <f>IFERROR(__xludf.DUMMYFUNCTION("""COMPUTED_VALUE"""),6.6186E7)</f>
        <v>66186000</v>
      </c>
      <c r="D223" s="1">
        <f>IFERROR(__xludf.DUMMYFUNCTION("""COMPUTED_VALUE"""),4.9)</f>
        <v>4.9</v>
      </c>
      <c r="E223" s="2">
        <f>IFERROR(__xludf.DUMMYFUNCTION("""COMPUTED_VALUE"""),539680.0)</f>
        <v>539680</v>
      </c>
      <c r="F223" s="2">
        <f>IFERROR(__xludf.DUMMYFUNCTION("""COMPUTED_VALUE"""),43000.0)</f>
        <v>43000</v>
      </c>
    </row>
    <row r="224">
      <c r="A224" s="1" t="str">
        <f>IFERROR(__xludf.DUMMYFUNCTION("""COMPUTED_VALUE"""),"United States of America")</f>
        <v>United States of America</v>
      </c>
      <c r="B224" s="2">
        <f>IFERROR(__xludf.DUMMYFUNCTION("""COMPUTED_VALUE"""),3.93347E8)</f>
        <v>393347000</v>
      </c>
      <c r="C224" s="2">
        <f>IFERROR(__xludf.DUMMYFUNCTION("""COMPUTED_VALUE"""),3.26474E8)</f>
        <v>326474000</v>
      </c>
      <c r="D224" s="1">
        <f>IFERROR(__xludf.DUMMYFUNCTION("""COMPUTED_VALUE"""),120.5)</f>
        <v>120.5</v>
      </c>
      <c r="E224" s="2">
        <f>IFERROR(__xludf.DUMMYFUNCTION("""COMPUTED_VALUE"""),4535380.0)</f>
        <v>4535380</v>
      </c>
      <c r="F224" s="2">
        <f>IFERROR(__xludf.DUMMYFUNCTION("""COMPUTED_VALUE"""),1016000.0)</f>
        <v>1016000</v>
      </c>
    </row>
    <row r="225">
      <c r="A225" s="1" t="str">
        <f>IFERROR(__xludf.DUMMYFUNCTION("""COMPUTED_VALUE"""),"Uruguay")</f>
        <v>Uruguay</v>
      </c>
      <c r="B225" s="2">
        <f>IFERROR(__xludf.DUMMYFUNCTION("""COMPUTED_VALUE"""),1198000.0)</f>
        <v>1198000</v>
      </c>
      <c r="C225" s="2">
        <f>IFERROR(__xludf.DUMMYFUNCTION("""COMPUTED_VALUE"""),3457000.0)</f>
        <v>3457000</v>
      </c>
      <c r="D225" s="1">
        <f>IFERROR(__xludf.DUMMYFUNCTION("""COMPUTED_VALUE"""),34.7)</f>
        <v>34.7</v>
      </c>
      <c r="E225" s="2">
        <f>IFERROR(__xludf.DUMMYFUNCTION("""COMPUTED_VALUE"""),62130.0)</f>
        <v>62130</v>
      </c>
      <c r="F225" s="2">
        <f>IFERROR(__xludf.DUMMYFUNCTION("""COMPUTED_VALUE"""),30000.0)</f>
        <v>30000</v>
      </c>
    </row>
    <row r="226">
      <c r="A226" s="1" t="str">
        <f>IFERROR(__xludf.DUMMYFUNCTION("""COMPUTED_VALUE"""),"Uzbekistan")</f>
        <v>Uzbekistan</v>
      </c>
      <c r="B226" s="2">
        <f>IFERROR(__xludf.DUMMYFUNCTION("""COMPUTED_VALUE"""),127000.0)</f>
        <v>127000</v>
      </c>
      <c r="C226" s="2">
        <f>IFERROR(__xludf.DUMMYFUNCTION("""COMPUTED_VALUE"""),3.0691E7)</f>
        <v>30691000</v>
      </c>
      <c r="D226" s="1">
        <f>IFERROR(__xludf.DUMMYFUNCTION("""COMPUTED_VALUE"""),0.4)</f>
        <v>0.4</v>
      </c>
      <c r="E226" s="2">
        <f>IFERROR(__xludf.DUMMYFUNCTION("""COMPUTED_VALUE"""),268400.0)</f>
        <v>268400</v>
      </c>
      <c r="F226" s="2">
        <f>IFERROR(__xludf.DUMMYFUNCTION("""COMPUTED_VALUE"""),150000.0)</f>
        <v>150000</v>
      </c>
    </row>
    <row r="227">
      <c r="A227" s="1" t="str">
        <f>IFERROR(__xludf.DUMMYFUNCTION("""COMPUTED_VALUE"""),"Vanuatu")</f>
        <v>Vanuatu</v>
      </c>
      <c r="B227" s="2">
        <f>IFERROR(__xludf.DUMMYFUNCTION("""COMPUTED_VALUE"""),11000.0)</f>
        <v>11000</v>
      </c>
      <c r="C227" s="2">
        <f>IFERROR(__xludf.DUMMYFUNCTION("""COMPUTED_VALUE"""),276000.0)</f>
        <v>276000</v>
      </c>
      <c r="D227" s="1">
        <f>IFERROR(__xludf.DUMMYFUNCTION("""COMPUTED_VALUE"""),3.9)</f>
        <v>3.9</v>
      </c>
      <c r="E227" s="1" t="str">
        <f>IFERROR(__xludf.DUMMYFUNCTION("""COMPUTED_VALUE"""),"-")</f>
        <v>-</v>
      </c>
      <c r="F227" s="1">
        <f>IFERROR(__xludf.DUMMYFUNCTION("""COMPUTED_VALUE"""),350.0)</f>
        <v>350</v>
      </c>
    </row>
    <row r="228">
      <c r="A228" s="1" t="str">
        <f>IFERROR(__xludf.DUMMYFUNCTION("""COMPUTED_VALUE"""),"Venezuela")</f>
        <v>Venezuela</v>
      </c>
      <c r="B228" s="2">
        <f>IFERROR(__xludf.DUMMYFUNCTION("""COMPUTED_VALUE"""),5895000.0)</f>
        <v>5895000</v>
      </c>
      <c r="C228" s="2">
        <f>IFERROR(__xludf.DUMMYFUNCTION("""COMPUTED_VALUE"""),3.1926E7)</f>
        <v>31926000</v>
      </c>
      <c r="D228" s="1">
        <f>IFERROR(__xludf.DUMMYFUNCTION("""COMPUTED_VALUE"""),18.5)</f>
        <v>18.5</v>
      </c>
      <c r="E228" s="2">
        <f>IFERROR(__xludf.DUMMYFUNCTION("""COMPUTED_VALUE"""),353300.0)</f>
        <v>353300</v>
      </c>
      <c r="F228" s="2">
        <f>IFERROR(__xludf.DUMMYFUNCTION("""COMPUTED_VALUE"""),173000.0)</f>
        <v>173000</v>
      </c>
    </row>
    <row r="229">
      <c r="A229" s="1" t="str">
        <f>IFERROR(__xludf.DUMMYFUNCTION("""COMPUTED_VALUE"""),"Vietnam")</f>
        <v>Vietnam</v>
      </c>
      <c r="B229" s="2">
        <f>IFERROR(__xludf.DUMMYFUNCTION("""COMPUTED_VALUE"""),1562000.0)</f>
        <v>1562000</v>
      </c>
      <c r="C229" s="2">
        <f>IFERROR(__xludf.DUMMYFUNCTION("""COMPUTED_VALUE"""),9.5415E7)</f>
        <v>95415000</v>
      </c>
      <c r="D229" s="1">
        <f>IFERROR(__xludf.DUMMYFUNCTION("""COMPUTED_VALUE"""),1.6)</f>
        <v>1.6</v>
      </c>
      <c r="E229" s="2">
        <f>IFERROR(__xludf.DUMMYFUNCTION("""COMPUTED_VALUE"""),3829200.0)</f>
        <v>3829200</v>
      </c>
      <c r="F229" s="2">
        <f>IFERROR(__xludf.DUMMYFUNCTION("""COMPUTED_VALUE"""),285000.0)</f>
        <v>285000</v>
      </c>
    </row>
    <row r="230">
      <c r="A230" s="1" t="str">
        <f>IFERROR(__xludf.DUMMYFUNCTION("""COMPUTED_VALUE"""),"Virgin Islands (U.K.)")</f>
        <v>Virgin Islands (U.K.)</v>
      </c>
      <c r="B230" s="1">
        <f>IFERROR(__xludf.DUMMYFUNCTION("""COMPUTED_VALUE"""),300.0)</f>
        <v>300</v>
      </c>
      <c r="C230" s="2">
        <f>IFERROR(__xludf.DUMMYFUNCTION("""COMPUTED_VALUE"""),31000.0)</f>
        <v>31000</v>
      </c>
      <c r="D230" s="1">
        <f>IFERROR(__xludf.DUMMYFUNCTION("""COMPUTED_VALUE"""),0.8)</f>
        <v>0.8</v>
      </c>
      <c r="E230" s="1" t="str">
        <f>IFERROR(__xludf.DUMMYFUNCTION("""COMPUTED_VALUE"""),"-")</f>
        <v>-</v>
      </c>
      <c r="F230" s="1">
        <f>IFERROR(__xludf.DUMMYFUNCTION("""COMPUTED_VALUE"""),500.0)</f>
        <v>500</v>
      </c>
    </row>
    <row r="231">
      <c r="A231" s="1" t="str">
        <f>IFERROR(__xludf.DUMMYFUNCTION("""COMPUTED_VALUE"""),"Virgin Islands (U.S.)")</f>
        <v>Virgin Islands (U.S.)</v>
      </c>
      <c r="B231" s="2">
        <f>IFERROR(__xludf.DUMMYFUNCTION("""COMPUTED_VALUE"""),18000.0)</f>
        <v>18000</v>
      </c>
      <c r="C231" s="2">
        <f>IFERROR(__xludf.DUMMYFUNCTION("""COMPUTED_VALUE"""),107000.0)</f>
        <v>107000</v>
      </c>
      <c r="D231" s="1">
        <f>IFERROR(__xludf.DUMMYFUNCTION("""COMPUTED_VALUE"""),16.6)</f>
        <v>16.6</v>
      </c>
      <c r="E231" s="1" t="str">
        <f>IFERROR(__xludf.DUMMYFUNCTION("""COMPUTED_VALUE"""),"-")</f>
        <v>-</v>
      </c>
      <c r="F231" s="1">
        <f>IFERROR(__xludf.DUMMYFUNCTION("""COMPUTED_VALUE"""),300.0)</f>
        <v>300</v>
      </c>
    </row>
    <row r="232">
      <c r="A232" s="1" t="str">
        <f>IFERROR(__xludf.DUMMYFUNCTION("""COMPUTED_VALUE"""),"Yemen")</f>
        <v>Yemen</v>
      </c>
      <c r="B232" s="2">
        <f>IFERROR(__xludf.DUMMYFUNCTION("""COMPUTED_VALUE"""),1.4859E7)</f>
        <v>14859000</v>
      </c>
      <c r="C232" s="2">
        <f>IFERROR(__xludf.DUMMYFUNCTION("""COMPUTED_VALUE"""),2.812E7)</f>
        <v>28120000</v>
      </c>
      <c r="D232" s="1">
        <f>IFERROR(__xludf.DUMMYFUNCTION("""COMPUTED_VALUE"""),52.8)</f>
        <v>52.8</v>
      </c>
      <c r="E232" s="2">
        <f>IFERROR(__xludf.DUMMYFUNCTION("""COMPUTED_VALUE"""),28500.0)</f>
        <v>28500</v>
      </c>
      <c r="F232" s="1" t="str">
        <f>IFERROR(__xludf.DUMMYFUNCTION("""COMPUTED_VALUE"""),"-")</f>
        <v>-</v>
      </c>
    </row>
    <row r="233">
      <c r="A233" s="1" t="str">
        <f>IFERROR(__xludf.DUMMYFUNCTION("""COMPUTED_VALUE"""),"Zambia")</f>
        <v>Zambia</v>
      </c>
      <c r="B233" s="2">
        <f>IFERROR(__xludf.DUMMYFUNCTION("""COMPUTED_VALUE"""),158000.0)</f>
        <v>158000</v>
      </c>
      <c r="C233" s="2">
        <f>IFERROR(__xludf.DUMMYFUNCTION("""COMPUTED_VALUE"""),1.7238E7)</f>
        <v>17238000</v>
      </c>
      <c r="D233" s="1">
        <f>IFERROR(__xludf.DUMMYFUNCTION("""COMPUTED_VALUE"""),0.9)</f>
        <v>0.9</v>
      </c>
      <c r="E233" s="2">
        <f>IFERROR(__xludf.DUMMYFUNCTION("""COMPUTED_VALUE"""),41040.0)</f>
        <v>41040</v>
      </c>
      <c r="F233" s="2">
        <f>IFERROR(__xludf.DUMMYFUNCTION("""COMPUTED_VALUE"""),16000.0)</f>
        <v>16000</v>
      </c>
    </row>
    <row r="234">
      <c r="A234" s="1" t="str">
        <f>IFERROR(__xludf.DUMMYFUNCTION("""COMPUTED_VALUE"""),"Zimbabwe")</f>
        <v>Zimbabwe</v>
      </c>
      <c r="B234" s="2">
        <f>IFERROR(__xludf.DUMMYFUNCTION("""COMPUTED_VALUE"""),455000.0)</f>
        <v>455000</v>
      </c>
      <c r="C234" s="2">
        <f>IFERROR(__xludf.DUMMYFUNCTION("""COMPUTED_VALUE"""),1.6338E7)</f>
        <v>16338000</v>
      </c>
      <c r="D234" s="1">
        <f>IFERROR(__xludf.DUMMYFUNCTION("""COMPUTED_VALUE"""),2.8)</f>
        <v>2.8</v>
      </c>
      <c r="E234" s="2">
        <f>IFERROR(__xludf.DUMMYFUNCTION("""COMPUTED_VALUE"""),91580.0)</f>
        <v>91580</v>
      </c>
      <c r="F234" s="2">
        <f>IFERROR(__xludf.DUMMYFUNCTION("""COMPUTED_VALUE"""),23000.0)</f>
        <v>23000</v>
      </c>
    </row>
  </sheetData>
  <drawing r:id="rId1"/>
</worksheet>
</file>