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rh_project\"/>
    </mc:Choice>
  </mc:AlternateContent>
  <xr:revisionPtr revIDLastSave="0" documentId="8_{00740969-E94D-401B-B180-DAD6B9876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D" sheetId="2" r:id="rId1"/>
    <sheet name="IR " sheetId="1" r:id="rId2"/>
    <sheet name="BAREM IR" sheetId="3" state="hidden" r:id="rId3"/>
  </sheets>
  <externalReferences>
    <externalReference r:id="rId4"/>
    <externalReference r:id="rId5"/>
  </externalReferences>
  <definedNames>
    <definedName name="_xlnm._FilterDatabase" localSheetId="0" hidden="1">BDD!$C$4:$BV$8</definedName>
    <definedName name="_xlnm._FilterDatabase" localSheetId="1" hidden="1">'IR '!$C$1:$T$5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R8" i="2" l="1"/>
  <c r="CB7" i="2"/>
  <c r="BW7" i="2"/>
  <c r="BR7" i="2"/>
  <c r="CB6" i="2"/>
  <c r="BR6" i="2"/>
  <c r="CB5" i="2"/>
  <c r="BR5" i="2"/>
  <c r="AQ5" i="2"/>
  <c r="BM3" i="2"/>
  <c r="BV8" i="2" s="1"/>
  <c r="G3" i="2"/>
  <c r="H6" i="2" s="1"/>
  <c r="I6" i="2" s="1"/>
  <c r="P5" i="1"/>
  <c r="F5" i="1"/>
  <c r="Q5" i="1" s="1"/>
  <c r="E5" i="1"/>
  <c r="P4" i="1"/>
  <c r="F4" i="1"/>
  <c r="Q4" i="1" s="1"/>
  <c r="E4" i="1"/>
  <c r="P3" i="1"/>
  <c r="F3" i="1"/>
  <c r="Q3" i="1" s="1"/>
  <c r="E3" i="1"/>
  <c r="P2" i="1"/>
  <c r="F2" i="1"/>
  <c r="Q2" i="1" s="1"/>
  <c r="E2" i="1"/>
  <c r="BM6" i="2" l="1"/>
  <c r="BN6" i="2" s="1"/>
  <c r="BS6" i="2"/>
  <c r="BT6" i="2" s="1"/>
  <c r="BV6" i="2"/>
  <c r="BS8" i="2"/>
  <c r="BT8" i="2" s="1"/>
  <c r="BS7" i="2"/>
  <c r="BT7" i="2" s="1"/>
  <c r="BM5" i="2"/>
  <c r="BV7" i="2"/>
  <c r="BS5" i="2"/>
  <c r="BT5" i="2" s="1"/>
  <c r="Z6" i="2"/>
  <c r="BG6" i="2"/>
  <c r="BV5" i="2"/>
  <c r="H7" i="2"/>
  <c r="H8" i="2"/>
  <c r="H5" i="2"/>
  <c r="BM7" i="2"/>
  <c r="BM8" i="2"/>
  <c r="BN8" i="2" l="1"/>
  <c r="I8" i="2"/>
  <c r="Z8" i="2" s="1"/>
  <c r="BG8" i="2"/>
  <c r="I7" i="2"/>
  <c r="Z7" i="2" s="1"/>
  <c r="BG7" i="2"/>
  <c r="BN7" i="2"/>
  <c r="I5" i="2"/>
  <c r="Z5" i="2" s="1"/>
  <c r="BG5" i="2"/>
  <c r="BN5" i="2"/>
  <c r="AU6" i="2"/>
  <c r="AW6" i="2"/>
  <c r="AW5" i="2" l="1"/>
  <c r="AU5" i="2"/>
  <c r="AU7" i="2"/>
  <c r="AW7" i="2"/>
  <c r="BI6" i="2"/>
  <c r="BJ6" i="2" s="1"/>
  <c r="BL6" i="2" s="1"/>
  <c r="BC6" i="2"/>
  <c r="K3" i="1" s="1"/>
  <c r="BB6" i="2"/>
  <c r="J3" i="1" s="1"/>
  <c r="AZ6" i="2"/>
  <c r="G3" i="1"/>
  <c r="AX6" i="2"/>
  <c r="BD6" i="2"/>
  <c r="L3" i="1" s="1"/>
  <c r="AV6" i="2"/>
  <c r="AY6" i="2" s="1"/>
  <c r="AW8" i="2"/>
  <c r="AU8" i="2"/>
  <c r="BI7" i="2" l="1"/>
  <c r="BJ7" i="2" s="1"/>
  <c r="BL7" i="2" s="1"/>
  <c r="BD8" i="2"/>
  <c r="L5" i="1" s="1"/>
  <c r="AV8" i="2"/>
  <c r="AY8" i="2" s="1"/>
  <c r="BC8" i="2"/>
  <c r="K5" i="1" s="1"/>
  <c r="BB8" i="2"/>
  <c r="J5" i="1" s="1"/>
  <c r="G5" i="1"/>
  <c r="AZ8" i="2"/>
  <c r="AX8" i="2"/>
  <c r="BD7" i="2"/>
  <c r="L4" i="1" s="1"/>
  <c r="AV7" i="2"/>
  <c r="AY7" i="2" s="1"/>
  <c r="BC7" i="2"/>
  <c r="K4" i="1" s="1"/>
  <c r="BB7" i="2"/>
  <c r="J4" i="1" s="1"/>
  <c r="AX7" i="2"/>
  <c r="G4" i="1"/>
  <c r="AZ7" i="2"/>
  <c r="H3" i="1"/>
  <c r="I3" i="1"/>
  <c r="M3" i="1" s="1"/>
  <c r="N3" i="1" s="1"/>
  <c r="R3" i="1" s="1"/>
  <c r="S3" i="1" s="1"/>
  <c r="T3" i="1" s="1"/>
  <c r="BE6" i="2" s="1"/>
  <c r="BF6" i="2" s="1"/>
  <c r="BI8" i="2"/>
  <c r="BJ8" i="2" s="1"/>
  <c r="BL8" i="2" s="1"/>
  <c r="BA6" i="2"/>
  <c r="BH6" i="2" s="1"/>
  <c r="BB5" i="2"/>
  <c r="J2" i="1" s="1"/>
  <c r="AZ5" i="2"/>
  <c r="G2" i="1"/>
  <c r="AX5" i="2"/>
  <c r="BD5" i="2"/>
  <c r="L2" i="1" s="1"/>
  <c r="AV5" i="2"/>
  <c r="AY5" i="2" s="1"/>
  <c r="BC5" i="2"/>
  <c r="K2" i="1" s="1"/>
  <c r="BI5" i="2"/>
  <c r="BJ5" i="2" s="1"/>
  <c r="BL5" i="2" s="1"/>
  <c r="BP6" i="2" l="1"/>
  <c r="BU6" i="2"/>
  <c r="BO6" i="2"/>
  <c r="I2" i="1"/>
  <c r="M2" i="1" s="1"/>
  <c r="N2" i="1" s="1"/>
  <c r="R2" i="1" s="1"/>
  <c r="S2" i="1" s="1"/>
  <c r="T2" i="1" s="1"/>
  <c r="BE5" i="2" s="1"/>
  <c r="BF5" i="2" s="1"/>
  <c r="H2" i="1"/>
  <c r="BA8" i="2"/>
  <c r="BH8" i="2" s="1"/>
  <c r="H5" i="1"/>
  <c r="I5" i="1"/>
  <c r="M5" i="1" s="1"/>
  <c r="N5" i="1" s="1"/>
  <c r="R5" i="1" s="1"/>
  <c r="S5" i="1" s="1"/>
  <c r="T5" i="1" s="1"/>
  <c r="BE8" i="2" s="1"/>
  <c r="BF8" i="2" s="1"/>
  <c r="I4" i="1"/>
  <c r="M4" i="1" s="1"/>
  <c r="N4" i="1" s="1"/>
  <c r="R4" i="1" s="1"/>
  <c r="S4" i="1" s="1"/>
  <c r="T4" i="1" s="1"/>
  <c r="BE7" i="2" s="1"/>
  <c r="BF7" i="2" s="1"/>
  <c r="H4" i="1"/>
  <c r="BA5" i="2"/>
  <c r="BH5" i="2" s="1"/>
  <c r="BA7" i="2"/>
  <c r="BH7" i="2" s="1"/>
  <c r="BU8" i="2" l="1"/>
  <c r="BP8" i="2"/>
  <c r="BO8" i="2"/>
  <c r="BP5" i="2"/>
  <c r="BU5" i="2"/>
  <c r="BO5" i="2"/>
  <c r="BU7" i="2"/>
  <c r="BP7" i="2"/>
  <c r="BO7" i="2"/>
  <c r="BQ6" i="2"/>
  <c r="BQ7" i="2" l="1"/>
  <c r="BQ5" i="2"/>
  <c r="BQ8" i="2"/>
</calcChain>
</file>

<file path=xl/sharedStrings.xml><?xml version="1.0" encoding="utf-8"?>
<sst xmlns="http://schemas.openxmlformats.org/spreadsheetml/2006/main" count="185" uniqueCount="146">
  <si>
    <t>Entité</t>
  </si>
  <si>
    <t>Matricule</t>
  </si>
  <si>
    <t>Nom</t>
  </si>
  <si>
    <t>Nb de charges</t>
  </si>
  <si>
    <t xml:space="preserve">Brut impossable </t>
  </si>
  <si>
    <t xml:space="preserve">base cnss </t>
  </si>
  <si>
    <t>Frais professionnelles</t>
  </si>
  <si>
    <t xml:space="preserve">mutuelle SAL </t>
  </si>
  <si>
    <t>cnss SAL</t>
  </si>
  <si>
    <t xml:space="preserve">cimr SAL </t>
  </si>
  <si>
    <t xml:space="preserve">SNI </t>
  </si>
  <si>
    <t xml:space="preserve">salaire soumis IR </t>
  </si>
  <si>
    <t xml:space="preserve">Taux d'IR </t>
  </si>
  <si>
    <t>somme à déduire</t>
  </si>
  <si>
    <t>allocations Familiales</t>
  </si>
  <si>
    <t>IR BRUT</t>
  </si>
  <si>
    <t>IR NET</t>
  </si>
  <si>
    <t xml:space="preserve">IR NET </t>
  </si>
  <si>
    <t>SAPRESS</t>
  </si>
  <si>
    <t>00484</t>
  </si>
  <si>
    <t>SOCHEPRESS</t>
  </si>
  <si>
    <t>000892</t>
  </si>
  <si>
    <t>SOTADEC</t>
  </si>
  <si>
    <t>S00050</t>
  </si>
  <si>
    <t>WARAKTRADING</t>
  </si>
  <si>
    <t>w00037</t>
  </si>
  <si>
    <t>VARIABLES</t>
  </si>
  <si>
    <t>Fonction</t>
  </si>
  <si>
    <t>Date d'entrée</t>
  </si>
  <si>
    <t>Ancienneté</t>
  </si>
  <si>
    <t>Taux d'ancienneté</t>
  </si>
  <si>
    <t xml:space="preserve">Centre de coût </t>
  </si>
  <si>
    <t xml:space="preserve">Direction </t>
  </si>
  <si>
    <t xml:space="preserve">Affectation </t>
  </si>
  <si>
    <t>Date naissance</t>
  </si>
  <si>
    <t>Sexe</t>
  </si>
  <si>
    <t>N° C.I.N</t>
  </si>
  <si>
    <t>Situation de famille</t>
  </si>
  <si>
    <t>Nb d'enfants</t>
  </si>
  <si>
    <t>Adresse</t>
  </si>
  <si>
    <t>Ville</t>
  </si>
  <si>
    <t>Nationalité</t>
  </si>
  <si>
    <t>Type de Contrat</t>
  </si>
  <si>
    <t>N° CNSS</t>
  </si>
  <si>
    <t>N° de compte</t>
  </si>
  <si>
    <t>Salaire de base</t>
  </si>
  <si>
    <t xml:space="preserve">104Prime de rendement </t>
  </si>
  <si>
    <t>108 Prime exceptionnelle</t>
  </si>
  <si>
    <t xml:space="preserve">117 Prime encaisseur </t>
  </si>
  <si>
    <t xml:space="preserve">119 Prime de Fonction </t>
  </si>
  <si>
    <t xml:space="preserve">120 Prime d'encadrement </t>
  </si>
  <si>
    <t xml:space="preserve">121 Prime de responsabilité </t>
  </si>
  <si>
    <t xml:space="preserve">132 Prime prometteur </t>
  </si>
  <si>
    <t xml:space="preserve">133Prime de jour </t>
  </si>
  <si>
    <t>150 Prime Divers nn soumis</t>
  </si>
  <si>
    <t>153 Prime de Parking</t>
  </si>
  <si>
    <t xml:space="preserve">181 Avantage nature carburant </t>
  </si>
  <si>
    <t xml:space="preserve">200 Indemnité de représentation </t>
  </si>
  <si>
    <t xml:space="preserve">202 Indemnité de transport </t>
  </si>
  <si>
    <t xml:space="preserve">203 Prime de Transport </t>
  </si>
  <si>
    <t>207 Indemnité de Caisse</t>
  </si>
  <si>
    <t xml:space="preserve">209 Indemnité de Panier </t>
  </si>
  <si>
    <t xml:space="preserve">214 Indemnité de Logement </t>
  </si>
  <si>
    <t>222Indemnité Anapec N/Imp</t>
  </si>
  <si>
    <t xml:space="preserve">230Indemnité de déplacement forfaitaire </t>
  </si>
  <si>
    <t xml:space="preserve">Participation </t>
  </si>
  <si>
    <t xml:space="preserve">Brut imposable </t>
  </si>
  <si>
    <t>Base Cnss plafonnée</t>
  </si>
  <si>
    <t>Brut global</t>
  </si>
  <si>
    <t>MUTUELLE PP</t>
  </si>
  <si>
    <t>CNSS PP</t>
  </si>
  <si>
    <t>CIMR PP</t>
  </si>
  <si>
    <t>Coût salarial</t>
  </si>
  <si>
    <t>MUTUELLE PS</t>
  </si>
  <si>
    <t>CNSS PS</t>
  </si>
  <si>
    <t>CIMR PS</t>
  </si>
  <si>
    <t>IR</t>
  </si>
  <si>
    <t>SALAIRE NET</t>
  </si>
  <si>
    <t xml:space="preserve">Ancienneté </t>
  </si>
  <si>
    <t>cc annuel</t>
  </si>
  <si>
    <t>tx horaire brut</t>
  </si>
  <si>
    <t>indemnité de licenciement</t>
  </si>
  <si>
    <t>delegué</t>
  </si>
  <si>
    <t>LICENCIEMENT 2</t>
  </si>
  <si>
    <t>AGE</t>
  </si>
  <si>
    <t>PR2AVIS MOIS</t>
  </si>
  <si>
    <t>préavis net</t>
  </si>
  <si>
    <t>domage &amp; intérets net</t>
  </si>
  <si>
    <t>ID LEGAL</t>
  </si>
  <si>
    <t xml:space="preserve">Date retraite </t>
  </si>
  <si>
    <t>Mois restants</t>
  </si>
  <si>
    <t>ARR</t>
  </si>
  <si>
    <t>net restant à 100%</t>
  </si>
  <si>
    <t>Age</t>
  </si>
  <si>
    <t>prime de panier ns</t>
  </si>
  <si>
    <t>prime de nuit s</t>
  </si>
  <si>
    <t>prime de transport s</t>
  </si>
  <si>
    <t>prime de jour s</t>
  </si>
  <si>
    <t>total primes V soumises</t>
  </si>
  <si>
    <t>XXXXXXXXXXX</t>
  </si>
  <si>
    <t>XXXXXXXXXX</t>
  </si>
  <si>
    <t>01-08-2005</t>
  </si>
  <si>
    <t>Logistique</t>
  </si>
  <si>
    <t xml:space="preserve">DIRECTION LOGISTIQUE ET DEVELOPPEMENT </t>
  </si>
  <si>
    <t>AGENCE MARRAKECH</t>
  </si>
  <si>
    <t>14-03-1979</t>
  </si>
  <si>
    <t>M</t>
  </si>
  <si>
    <t>BK179415</t>
  </si>
  <si>
    <t xml:space="preserve">Marié(e) </t>
  </si>
  <si>
    <t xml:space="preserve">RES El mehdi IMM B N°13 Sidi Maarouf </t>
  </si>
  <si>
    <t>CASABLANCA</t>
  </si>
  <si>
    <t>MAR</t>
  </si>
  <si>
    <t>CDI</t>
  </si>
  <si>
    <t>190780211114232379000870</t>
  </si>
  <si>
    <t>CHEBAKI RACHID</t>
  </si>
  <si>
    <t>18-09-1986</t>
  </si>
  <si>
    <t>Support</t>
  </si>
  <si>
    <t>ANIMATION DE LA PERFORMANCE ET CONTRÔLE DE GESTION</t>
  </si>
  <si>
    <t>SIEGE</t>
  </si>
  <si>
    <t>08-04-1963</t>
  </si>
  <si>
    <t>B661474</t>
  </si>
  <si>
    <t>Célibataire</t>
  </si>
  <si>
    <t xml:space="preserve">26 Res Najat étage 1 N°32 Rue d'alsace </t>
  </si>
  <si>
    <t>178780211119354012000882</t>
  </si>
  <si>
    <t>01-06-2004</t>
  </si>
  <si>
    <t>AGENCE TETOUAN</t>
  </si>
  <si>
    <t>01-07-1976</t>
  </si>
  <si>
    <t>L327820</t>
  </si>
  <si>
    <t>AV BNIHDIFA RUE 06 N°08 KOUILMAT TETOUAN</t>
  </si>
  <si>
    <t>TETOUAN</t>
  </si>
  <si>
    <t>022720000231002800354279</t>
  </si>
  <si>
    <t>Commercial</t>
  </si>
  <si>
    <t>DIRECTION RESEAU ET PROXIMITE</t>
  </si>
  <si>
    <t>18-04-1988</t>
  </si>
  <si>
    <t>EE372576</t>
  </si>
  <si>
    <t>DRAA EL AYACHI N° 126 EL KELAA</t>
  </si>
  <si>
    <t>MARRAKECH</t>
  </si>
  <si>
    <t>007450000657800019202931</t>
  </si>
  <si>
    <t>Salairemensuel</t>
  </si>
  <si>
    <t>Taux IR</t>
  </si>
  <si>
    <t>Somme à déduire mensuelle</t>
  </si>
  <si>
    <t>#REF!</t>
  </si>
  <si>
    <t>annee</t>
  </si>
  <si>
    <t>mois</t>
  </si>
  <si>
    <t>pas la bdd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</si>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</sst>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D_H_-;\-* #,##0.00\ _D_H_-;_-* &quot;-&quot;??\ _D_H_-;_-@"/>
    <numFmt numFmtId="165" formatCode="_-* #,##0\ _D_H_-;\-* #,##0\ _D_H_-;_-* &quot;-&quot;??\ _D_H_-;_-@"/>
    <numFmt numFmtId="166" formatCode="_-* #,##0.00_-;\-* #,##0.00_-;_-* &quot;-&quot;??_-;_-@"/>
    <numFmt numFmtId="167" formatCode="_-* #,##0_-;\-* #,##0_-;_-* &quot;-&quot;??_-;_-@"/>
  </numFmts>
  <fonts count="10">
    <font>
      <sz val="11"/>
      <name val="Calibri"/>
    </font>
    <font>
      <b/>
      <sz val="8"/>
      <name val="Arial"/>
    </font>
    <font>
      <b/>
      <sz val="10"/>
      <name val="Calibri"/>
    </font>
    <font>
      <b/>
      <sz val="11"/>
      <name val="Calibri"/>
    </font>
    <font>
      <sz val="8"/>
      <name val="Arial"/>
    </font>
    <font>
      <b/>
      <sz val="8"/>
      <name val="Arial"/>
    </font>
    <font>
      <b/>
      <sz val="9"/>
      <name val="Arial"/>
    </font>
    <font>
      <sz val="11"/>
      <name val="Calibri"/>
    </font>
    <font>
      <sz val="8"/>
      <name val="Calibri"/>
    </font>
    <font>
      <sz val="8"/>
      <color rgb="FF0070C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2626"/>
        <bgColor rgb="FF262626"/>
      </patternFill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9" fontId="2" fillId="2" borderId="1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4" fontId="4" fillId="0" borderId="1" xfId="0" applyNumberFormat="1" applyFont="1" applyBorder="1" applyAlignment="1">
      <alignment horizontal="right" vertical="top"/>
    </xf>
    <xf numFmtId="4" fontId="4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9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4" fontId="4" fillId="0" borderId="0" xfId="0" applyNumberFormat="1" applyFont="1"/>
    <xf numFmtId="0" fontId="6" fillId="0" borderId="0" xfId="0" applyFont="1"/>
    <xf numFmtId="14" fontId="5" fillId="0" borderId="0" xfId="0" applyNumberFormat="1" applyFont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14" fontId="5" fillId="0" borderId="0" xfId="0" applyNumberFormat="1" applyFont="1" applyAlignment="1">
      <alignment vertical="top" wrapText="1"/>
    </xf>
    <xf numFmtId="14" fontId="4" fillId="0" borderId="1" xfId="0" applyNumberFormat="1" applyFont="1" applyBorder="1" applyAlignment="1">
      <alignment horizontal="righ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164" fontId="8" fillId="0" borderId="1" xfId="0" applyNumberFormat="1" applyFont="1" applyBorder="1" applyAlignment="1">
      <alignment vertical="top"/>
    </xf>
    <xf numFmtId="4" fontId="5" fillId="0" borderId="1" xfId="0" applyNumberFormat="1" applyFont="1" applyBorder="1" applyAlignment="1">
      <alignment horizontal="right" vertical="top"/>
    </xf>
    <xf numFmtId="4" fontId="4" fillId="0" borderId="1" xfId="0" applyNumberFormat="1" applyFont="1" applyBorder="1" applyAlignment="1">
      <alignment vertical="top"/>
    </xf>
    <xf numFmtId="165" fontId="8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4" fontId="8" fillId="0" borderId="1" xfId="0" applyNumberFormat="1" applyFont="1" applyBorder="1" applyAlignment="1">
      <alignment horizontal="center" vertical="top"/>
    </xf>
    <xf numFmtId="166" fontId="8" fillId="0" borderId="1" xfId="0" applyNumberFormat="1" applyFont="1" applyBorder="1" applyAlignment="1">
      <alignment horizontal="center" vertical="top"/>
    </xf>
    <xf numFmtId="167" fontId="8" fillId="0" borderId="1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1" xfId="0" applyFont="1" applyBorder="1" applyAlignment="1">
      <alignment vertical="top"/>
    </xf>
    <xf numFmtId="0" fontId="0" fillId="5" borderId="1" xfId="0" applyFont="1" applyFill="1" applyBorder="1"/>
    <xf numFmtId="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0" fillId="5" borderId="5" xfId="0" applyFont="1" applyFill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&#233;l&#233;chargements\Constantes_670-01%20(7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GA%202021/Nouvelle%20o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D"/>
      <sheetName val="Synthès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0"/>
  <sheetViews>
    <sheetView tabSelected="1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K6" sqref="K6"/>
    </sheetView>
  </sheetViews>
  <sheetFormatPr baseColWidth="10" defaultColWidth="14.44140625" defaultRowHeight="15" customHeight="1"/>
  <cols>
    <col min="3" max="3" width="13.109375" customWidth="1"/>
    <col min="4" max="4" width="8.33203125" customWidth="1"/>
    <col min="5" max="5" width="11.88671875" customWidth="1"/>
    <col min="6" max="7" width="11.5546875" customWidth="1"/>
    <col min="8" max="8" width="10" customWidth="1"/>
    <col min="9" max="9" width="8.33203125" customWidth="1"/>
    <col min="10" max="10" width="10.109375" customWidth="1"/>
    <col min="11" max="11" width="38" customWidth="1"/>
    <col min="12" max="12" width="16.6640625" customWidth="1"/>
    <col min="13" max="13" width="16" customWidth="1"/>
    <col min="14" max="14" width="8.88671875" customWidth="1"/>
    <col min="15" max="15" width="10.5546875" customWidth="1"/>
    <col min="16" max="16" width="13.5546875" customWidth="1"/>
    <col min="17" max="17" width="14.109375" customWidth="1"/>
    <col min="18" max="18" width="15.44140625" customWidth="1"/>
    <col min="19" max="19" width="54" customWidth="1"/>
    <col min="20" max="20" width="11.6640625" customWidth="1"/>
    <col min="21" max="21" width="7.88671875" customWidth="1"/>
    <col min="22" max="22" width="10.88671875" customWidth="1"/>
    <col min="23" max="23" width="11.5546875" customWidth="1"/>
    <col min="24" max="24" width="25" customWidth="1"/>
    <col min="25" max="25" width="12.109375" customWidth="1"/>
    <col min="26" max="26" width="13.109375" customWidth="1"/>
    <col min="27" max="27" width="13.88671875" customWidth="1"/>
    <col min="28" max="28" width="15.44140625" customWidth="1"/>
    <col min="29" max="29" width="13" customWidth="1"/>
    <col min="30" max="30" width="14.33203125" customWidth="1"/>
    <col min="31" max="31" width="15.6640625" customWidth="1"/>
    <col min="32" max="32" width="15.109375" customWidth="1"/>
    <col min="33" max="33" width="13" customWidth="1"/>
    <col min="34" max="34" width="17" customWidth="1"/>
    <col min="35" max="35" width="19.109375" customWidth="1"/>
    <col min="36" max="36" width="14.33203125" customWidth="1"/>
    <col min="37" max="37" width="16.88671875" customWidth="1"/>
    <col min="38" max="39" width="17.109375" customWidth="1"/>
    <col min="40" max="40" width="14.33203125" customWidth="1"/>
    <col min="41" max="43" width="17.109375" customWidth="1"/>
    <col min="44" max="44" width="20.33203125" customWidth="1"/>
    <col min="45" max="45" width="21.33203125" customWidth="1"/>
    <col min="46" max="46" width="14.109375" customWidth="1"/>
    <col min="47" max="47" width="12.5546875" customWidth="1"/>
    <col min="48" max="48" width="12.33203125" customWidth="1"/>
    <col min="49" max="49" width="13.109375" customWidth="1"/>
    <col min="50" max="50" width="15.88671875" customWidth="1"/>
    <col min="51" max="51" width="12.109375" customWidth="1"/>
    <col min="52" max="52" width="7.5546875" customWidth="1"/>
    <col min="53" max="53" width="13.109375" customWidth="1"/>
    <col min="54" max="54" width="8.88671875" customWidth="1"/>
    <col min="55" max="55" width="9.5546875" customWidth="1"/>
    <col min="56" max="56" width="12" customWidth="1"/>
    <col min="57" max="57" width="7.88671875" customWidth="1"/>
    <col min="58" max="58" width="9.88671875" customWidth="1"/>
    <col min="59" max="59" width="10.33203125" customWidth="1"/>
    <col min="60" max="60" width="12.109375" customWidth="1"/>
    <col min="61" max="61" width="10.6640625" customWidth="1"/>
    <col min="62" max="62" width="14.109375" customWidth="1"/>
    <col min="63" max="63" width="18.6640625" customWidth="1"/>
    <col min="64" max="64" width="16.44140625" customWidth="1"/>
    <col min="65" max="65" width="8.6640625" customWidth="1"/>
    <col min="66" max="66" width="6.88671875" customWidth="1"/>
    <col min="67" max="67" width="12.33203125" customWidth="1"/>
    <col min="68" max="68" width="13.109375" customWidth="1"/>
    <col min="69" max="69" width="12.5546875" customWidth="1"/>
    <col min="70" max="70" width="11.44140625" customWidth="1"/>
    <col min="71" max="71" width="7.6640625" customWidth="1"/>
    <col min="72" max="72" width="4.44140625" customWidth="1"/>
    <col min="73" max="73" width="15.33203125" customWidth="1"/>
    <col min="74" max="74" width="7.88671875" customWidth="1"/>
    <col min="75" max="75" width="12.33203125" customWidth="1"/>
    <col min="76" max="76" width="7.33203125" customWidth="1"/>
    <col min="77" max="77" width="11" customWidth="1"/>
    <col min="78" max="78" width="8.44140625" customWidth="1"/>
    <col min="79" max="79" width="9.88671875" customWidth="1"/>
    <col min="80" max="80" width="10.33203125" customWidth="1"/>
    <col min="81" max="81" width="10.6640625" customWidth="1"/>
    <col min="82" max="82" width="8.44140625" customWidth="1"/>
  </cols>
  <sheetData>
    <row r="1" spans="1:82" ht="10.5" customHeight="1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7"/>
      <c r="BB1" s="15"/>
      <c r="BC1" s="15"/>
      <c r="BD1" s="15"/>
      <c r="BE1" s="15"/>
      <c r="BF1" s="17"/>
      <c r="BG1" s="15"/>
      <c r="BH1" s="15"/>
      <c r="BI1" s="18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9"/>
      <c r="BV1" s="15"/>
      <c r="BW1" s="15"/>
      <c r="BX1" s="15"/>
      <c r="BY1" s="15"/>
      <c r="BZ1" s="15"/>
      <c r="CA1" s="15"/>
      <c r="CB1" s="15"/>
      <c r="CC1" s="15"/>
      <c r="CD1" s="20"/>
    </row>
    <row r="2" spans="1:82" ht="10.5" customHeight="1">
      <c r="C2" s="15"/>
      <c r="D2" s="15"/>
      <c r="E2" s="21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7"/>
      <c r="BB2" s="15"/>
      <c r="BC2" s="15"/>
      <c r="BD2" s="15"/>
      <c r="BE2" s="15"/>
      <c r="BF2" s="17"/>
      <c r="BG2" s="15"/>
      <c r="BH2" s="15"/>
      <c r="BI2" s="18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9"/>
      <c r="BV2" s="15"/>
      <c r="BW2" s="15"/>
      <c r="BX2" s="15"/>
      <c r="BY2" s="15"/>
      <c r="BZ2" s="15"/>
      <c r="CA2" s="15"/>
      <c r="CB2" s="15"/>
      <c r="CC2" s="15"/>
      <c r="CD2" s="20"/>
    </row>
    <row r="3" spans="1:82" ht="10.5" customHeight="1">
      <c r="C3" s="15"/>
      <c r="D3" s="15"/>
      <c r="E3" s="15"/>
      <c r="F3" s="15"/>
      <c r="G3" s="22">
        <f ca="1">TODAY()</f>
        <v>44608</v>
      </c>
      <c r="H3" s="15" t="s">
        <v>144</v>
      </c>
      <c r="I3" s="15" t="s">
        <v>145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7"/>
      <c r="BB3" s="15"/>
      <c r="BC3" s="15"/>
      <c r="BD3" s="15"/>
      <c r="BE3" s="15"/>
      <c r="BF3" s="17"/>
      <c r="BG3" s="15"/>
      <c r="BH3" s="15"/>
      <c r="BI3" s="18"/>
      <c r="BJ3" s="15"/>
      <c r="BK3" s="15"/>
      <c r="BL3" s="15"/>
      <c r="BM3" s="22">
        <f ca="1">TODAY()</f>
        <v>44608</v>
      </c>
      <c r="BN3" s="15"/>
      <c r="BO3" s="15"/>
      <c r="BP3" s="15"/>
      <c r="BQ3" s="15"/>
      <c r="BR3" s="15"/>
      <c r="BS3" s="15"/>
      <c r="BT3" s="15"/>
      <c r="BU3" s="19"/>
      <c r="BV3" s="15"/>
      <c r="BW3" s="15"/>
      <c r="BX3" s="52" t="s">
        <v>26</v>
      </c>
      <c r="BY3" s="53"/>
      <c r="BZ3" s="53"/>
      <c r="CA3" s="53"/>
      <c r="CB3" s="54"/>
      <c r="CC3" s="15"/>
      <c r="CD3" s="20"/>
    </row>
    <row r="4" spans="1:82" ht="10.5" customHeight="1">
      <c r="A4" t="s">
        <v>142</v>
      </c>
      <c r="B4" t="s">
        <v>143</v>
      </c>
      <c r="C4" s="23" t="s">
        <v>0</v>
      </c>
      <c r="D4" s="24" t="s">
        <v>1</v>
      </c>
      <c r="E4" s="24" t="s">
        <v>2</v>
      </c>
      <c r="F4" s="24" t="s">
        <v>27</v>
      </c>
      <c r="G4" s="24" t="s">
        <v>28</v>
      </c>
      <c r="H4" s="24" t="s">
        <v>29</v>
      </c>
      <c r="I4" s="24" t="s">
        <v>30</v>
      </c>
      <c r="J4" s="24" t="s">
        <v>31</v>
      </c>
      <c r="K4" s="24" t="s">
        <v>32</v>
      </c>
      <c r="L4" s="24" t="s">
        <v>33</v>
      </c>
      <c r="M4" s="24" t="s">
        <v>34</v>
      </c>
      <c r="N4" s="24" t="s">
        <v>35</v>
      </c>
      <c r="O4" s="24" t="s">
        <v>36</v>
      </c>
      <c r="P4" s="24" t="s">
        <v>37</v>
      </c>
      <c r="Q4" s="24" t="s">
        <v>38</v>
      </c>
      <c r="R4" s="24" t="s">
        <v>3</v>
      </c>
      <c r="S4" s="24" t="s">
        <v>39</v>
      </c>
      <c r="T4" s="24" t="s">
        <v>40</v>
      </c>
      <c r="U4" s="24" t="s">
        <v>41</v>
      </c>
      <c r="V4" s="24" t="s">
        <v>42</v>
      </c>
      <c r="W4" s="24" t="s">
        <v>43</v>
      </c>
      <c r="X4" s="24" t="s">
        <v>44</v>
      </c>
      <c r="Y4" s="24" t="s">
        <v>45</v>
      </c>
      <c r="Z4" s="24" t="s">
        <v>29</v>
      </c>
      <c r="AA4" s="24" t="s">
        <v>46</v>
      </c>
      <c r="AB4" s="24" t="s">
        <v>47</v>
      </c>
      <c r="AC4" s="24" t="s">
        <v>48</v>
      </c>
      <c r="AD4" s="24" t="s">
        <v>49</v>
      </c>
      <c r="AE4" s="24" t="s">
        <v>50</v>
      </c>
      <c r="AF4" s="24" t="s">
        <v>51</v>
      </c>
      <c r="AG4" s="24" t="s">
        <v>52</v>
      </c>
      <c r="AH4" s="24" t="s">
        <v>53</v>
      </c>
      <c r="AI4" s="24" t="s">
        <v>54</v>
      </c>
      <c r="AJ4" s="24" t="s">
        <v>55</v>
      </c>
      <c r="AK4" s="24" t="s">
        <v>56</v>
      </c>
      <c r="AL4" s="24" t="s">
        <v>57</v>
      </c>
      <c r="AM4" s="24" t="s">
        <v>58</v>
      </c>
      <c r="AN4" s="24" t="s">
        <v>59</v>
      </c>
      <c r="AO4" s="24" t="s">
        <v>60</v>
      </c>
      <c r="AP4" s="24" t="s">
        <v>61</v>
      </c>
      <c r="AQ4" s="24" t="s">
        <v>62</v>
      </c>
      <c r="AR4" s="24" t="s">
        <v>63</v>
      </c>
      <c r="AS4" s="24" t="s">
        <v>64</v>
      </c>
      <c r="AT4" s="24" t="s">
        <v>65</v>
      </c>
      <c r="AU4" s="25" t="s">
        <v>66</v>
      </c>
      <c r="AV4" s="25" t="s">
        <v>67</v>
      </c>
      <c r="AW4" s="26" t="s">
        <v>68</v>
      </c>
      <c r="AX4" s="2" t="s">
        <v>69</v>
      </c>
      <c r="AY4" s="2" t="s">
        <v>70</v>
      </c>
      <c r="AZ4" s="2" t="s">
        <v>71</v>
      </c>
      <c r="BA4" s="26" t="s">
        <v>72</v>
      </c>
      <c r="BB4" s="2" t="s">
        <v>73</v>
      </c>
      <c r="BC4" s="2" t="s">
        <v>74</v>
      </c>
      <c r="BD4" s="2" t="s">
        <v>75</v>
      </c>
      <c r="BE4" s="2" t="s">
        <v>76</v>
      </c>
      <c r="BF4" s="26" t="s">
        <v>77</v>
      </c>
      <c r="BG4" s="27" t="s">
        <v>78</v>
      </c>
      <c r="BH4" s="2" t="s">
        <v>79</v>
      </c>
      <c r="BI4" s="2" t="s">
        <v>80</v>
      </c>
      <c r="BJ4" s="2" t="s">
        <v>81</v>
      </c>
      <c r="BK4" s="2" t="s">
        <v>82</v>
      </c>
      <c r="BL4" s="2" t="s">
        <v>83</v>
      </c>
      <c r="BM4" s="2" t="s">
        <v>84</v>
      </c>
      <c r="BN4" s="2" t="s">
        <v>85</v>
      </c>
      <c r="BO4" s="2" t="s">
        <v>86</v>
      </c>
      <c r="BP4" s="2" t="s">
        <v>87</v>
      </c>
      <c r="BQ4" s="28" t="s">
        <v>88</v>
      </c>
      <c r="BR4" s="29" t="s">
        <v>89</v>
      </c>
      <c r="BS4" s="29" t="s">
        <v>90</v>
      </c>
      <c r="BT4" s="29" t="s">
        <v>91</v>
      </c>
      <c r="BU4" s="30" t="s">
        <v>92</v>
      </c>
      <c r="BV4" s="29" t="s">
        <v>93</v>
      </c>
      <c r="BW4" s="31"/>
      <c r="BX4" s="31" t="s">
        <v>94</v>
      </c>
      <c r="BY4" s="31" t="s">
        <v>95</v>
      </c>
      <c r="BZ4" s="31" t="s">
        <v>96</v>
      </c>
      <c r="CA4" s="31" t="s">
        <v>97</v>
      </c>
      <c r="CB4" s="31" t="s">
        <v>98</v>
      </c>
      <c r="CC4" s="31"/>
      <c r="CD4" s="32"/>
    </row>
    <row r="5" spans="1:82" ht="10.5" customHeight="1">
      <c r="C5" s="8" t="s">
        <v>18</v>
      </c>
      <c r="D5" s="8" t="s">
        <v>19</v>
      </c>
      <c r="E5" s="8" t="s">
        <v>99</v>
      </c>
      <c r="F5" s="8" t="s">
        <v>100</v>
      </c>
      <c r="G5" s="33" t="s">
        <v>101</v>
      </c>
      <c r="H5" s="9">
        <f t="shared" ref="H5:H8" ca="1" si="0">+(G$3-G5)/365</f>
        <v>16.556164383561644</v>
      </c>
      <c r="I5" s="34">
        <f t="shared" ref="I5:I8" ca="1" si="1">IF(H5&gt;=25,25,IF(H5&gt;=20,20,IF(H5&gt;=12,15,IF(H5&gt;=5,10,IF(H5&gt;=2,5,0)))))</f>
        <v>15</v>
      </c>
      <c r="J5" s="8" t="s">
        <v>102</v>
      </c>
      <c r="K5" s="35" t="s">
        <v>103</v>
      </c>
      <c r="L5" s="8" t="s">
        <v>104</v>
      </c>
      <c r="M5" s="33" t="s">
        <v>105</v>
      </c>
      <c r="N5" s="8" t="s">
        <v>106</v>
      </c>
      <c r="O5" s="8" t="s">
        <v>107</v>
      </c>
      <c r="P5" s="8" t="s">
        <v>108</v>
      </c>
      <c r="Q5" s="9">
        <v>1</v>
      </c>
      <c r="R5" s="9">
        <v>2</v>
      </c>
      <c r="S5" s="8" t="s">
        <v>109</v>
      </c>
      <c r="T5" s="8" t="s">
        <v>110</v>
      </c>
      <c r="U5" s="8" t="s">
        <v>111</v>
      </c>
      <c r="V5" s="8" t="s">
        <v>112</v>
      </c>
      <c r="W5" s="8">
        <v>169497769</v>
      </c>
      <c r="X5" s="8" t="s">
        <v>113</v>
      </c>
      <c r="Y5" s="9">
        <v>10000</v>
      </c>
      <c r="Z5" s="9">
        <f t="shared" ref="Z5:Z8" ca="1" si="2">+(Y5*I5)/100</f>
        <v>1500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600</v>
      </c>
      <c r="AM5" s="9">
        <v>500</v>
      </c>
      <c r="AN5" s="9">
        <v>0</v>
      </c>
      <c r="AO5" s="9">
        <v>0</v>
      </c>
      <c r="AP5" s="9">
        <v>0</v>
      </c>
      <c r="AQ5" s="9" t="e">
        <f>VLOOKUP(D:D,[1]Worksheet!$A:$S,19,0)</f>
        <v>#N/A</v>
      </c>
      <c r="AR5" s="9">
        <v>0</v>
      </c>
      <c r="AS5" s="9">
        <v>0</v>
      </c>
      <c r="AT5" s="9"/>
      <c r="AU5" s="9" t="e">
        <f t="shared" ref="AU5:AU8" ca="1" si="3">+Y5+Z5+AA5+AB5+AC5+AD5+AE5+AF5+AG5+AH5+AJ5+AK5+AQ5+CB5+AT5</f>
        <v>#N/A</v>
      </c>
      <c r="AV5" s="36" t="e">
        <f t="shared" ref="AV5:AV8" ca="1" si="4">IF(AU5&gt;6000,6000,AU5)</f>
        <v>#N/A</v>
      </c>
      <c r="AW5" s="9" t="e">
        <f t="shared" ref="AW5:AW8" ca="1" si="5">SUM(Y5:AS5)+CB5+BX5</f>
        <v>#N/A</v>
      </c>
      <c r="AX5" s="9" t="e">
        <f ca="1">+(6.61*AU5)/100</f>
        <v>#N/A</v>
      </c>
      <c r="AY5" s="36" t="e">
        <f t="shared" ref="AY5:AY8" ca="1" si="6">(AU5*9.85%)+(AV5*8.98%)</f>
        <v>#N/A</v>
      </c>
      <c r="AZ5" s="9" t="e">
        <f t="shared" ref="AZ5:AZ8" ca="1" si="7">+AU5*7.8%</f>
        <v>#N/A</v>
      </c>
      <c r="BA5" s="37" t="e">
        <f t="shared" ref="BA5:BA8" ca="1" si="8">+AZ5+AY5+AX5+AW5</f>
        <v>#N/A</v>
      </c>
      <c r="BB5" s="9" t="e">
        <f ca="1">+AU5*(0.31+0.36+3.285+1.05)/100</f>
        <v>#N/A</v>
      </c>
      <c r="BC5" s="36" t="e">
        <f t="shared" ref="BC5:BC8" ca="1" si="9">IF(AU5&gt;6000,268.8,AU5*4.48%)</f>
        <v>#N/A</v>
      </c>
      <c r="BD5" s="9" t="e">
        <f t="shared" ref="BD5:BD8" ca="1" si="10">+AU5*0.06</f>
        <v>#N/A</v>
      </c>
      <c r="BE5" s="9" t="e">
        <f ca="1">VLOOKUP(D:D,'IR '!D:T,17,0)</f>
        <v>#N/A</v>
      </c>
      <c r="BF5" s="37" t="e">
        <f t="shared" ref="BF5:BF8" ca="1" si="11">+AW5-BB5-BC5-BD5-BE5</f>
        <v>#N/A</v>
      </c>
      <c r="BG5" s="38">
        <f t="shared" ref="BG5:BG8" ca="1" si="12">ROUNDUP(H5,0)</f>
        <v>17</v>
      </c>
      <c r="BH5" s="39" t="e">
        <f t="shared" ref="BH5:BH8" ca="1" si="13">+BA5*12.85</f>
        <v>#N/A</v>
      </c>
      <c r="BI5" s="40" t="e">
        <f t="shared" ref="BI5:BI8" ca="1" si="14">+AW5/191</f>
        <v>#N/A</v>
      </c>
      <c r="BJ5" s="36" t="e">
        <f t="shared" ref="BJ5:BJ8" ca="1" si="15">IF(BG5&lt;=5,BI5*96*BG5,IF(BG5&lt;=10,((BG5-5)*BI5*144)+(BI5*5*96),IF(BG5&lt;=15,(5*96*BI5)+(5*144*BI5)+((BG5-10)*BI5*192),IF(BG5&gt;15,(5*BI5*96)+(5*144*BI5)+(5*192*BI5)+((BG5-15)*240*BI5)))))</f>
        <v>#N/A</v>
      </c>
      <c r="BK5" s="41" t="s">
        <v>114</v>
      </c>
      <c r="BL5" s="42" t="e">
        <f ca="1">BJ5*2</f>
        <v>#N/A</v>
      </c>
      <c r="BM5" s="34">
        <f t="shared" ref="BM5:BM8" ca="1" si="16">(BM$3-M5)/365</f>
        <v>42.958904109589042</v>
      </c>
      <c r="BN5" s="34">
        <f t="shared" ref="BN5:BN8" ca="1" si="17">IF(H5&lt;1,1,IF(BM5&lt;5,2,3))</f>
        <v>3</v>
      </c>
      <c r="BO5" s="40" t="e">
        <f t="shared" ref="BO5:BO8" ca="1" si="18">+BN5*BF5</f>
        <v>#N/A</v>
      </c>
      <c r="BP5" s="36" t="e">
        <f t="shared" ref="BP5:BP8" ca="1" si="19">IF(BF5*1.5*BG5&gt;BF5*36,BF5*36,BF5*1.5*BG5)</f>
        <v>#N/A</v>
      </c>
      <c r="BQ5" s="40" t="e">
        <f t="shared" ref="BQ5:BQ8" ca="1" si="20">+BP5+BO5+BL5</f>
        <v>#N/A</v>
      </c>
      <c r="BR5" s="43">
        <f t="shared" ref="BR5:BR8" si="21">+M5+(60*365.25)</f>
        <v>50843</v>
      </c>
      <c r="BS5" s="44">
        <f t="shared" ref="BS5:BS8" ca="1" si="22">(BR5-BM$3)/365.25*12</f>
        <v>204.8459958932238</v>
      </c>
      <c r="BT5" s="45">
        <f t="shared" ref="BT5:BT8" ca="1" si="23">ROUNDUP(BS5,0)</f>
        <v>205</v>
      </c>
      <c r="BU5" s="46" t="e">
        <f t="shared" ref="BU5:BU8" ca="1" si="24">+BF5*BT5</f>
        <v>#N/A</v>
      </c>
      <c r="BV5" s="40">
        <f t="shared" ref="BV5:BV8" ca="1" si="25">(BM$3-M5)/365</f>
        <v>42.958904109589042</v>
      </c>
      <c r="BW5" s="7"/>
      <c r="BX5" s="7"/>
      <c r="BY5" s="7"/>
      <c r="BZ5" s="7"/>
      <c r="CA5" s="7"/>
      <c r="CB5" s="7">
        <f t="shared" ref="CB5:CB7" si="26">+BY5+BZ5+CA5</f>
        <v>0</v>
      </c>
      <c r="CC5" s="7"/>
      <c r="CD5" s="47"/>
    </row>
    <row r="6" spans="1:82" ht="10.5" customHeight="1">
      <c r="C6" s="8" t="s">
        <v>20</v>
      </c>
      <c r="D6" s="8" t="s">
        <v>21</v>
      </c>
      <c r="E6" s="8" t="s">
        <v>99</v>
      </c>
      <c r="F6" s="8" t="s">
        <v>100</v>
      </c>
      <c r="G6" s="33" t="s">
        <v>115</v>
      </c>
      <c r="H6" s="9">
        <f t="shared" ca="1" si="0"/>
        <v>35.438356164383563</v>
      </c>
      <c r="I6" s="34">
        <f ca="1">IF(H6&gt;=25,25,IF(H6&gt;=20,20,IF(H6&gt;=12,15,IF(H6&gt;=5,10,IF(H6&gt;=2,5,0)))))</f>
        <v>25</v>
      </c>
      <c r="J6" s="8" t="s">
        <v>116</v>
      </c>
      <c r="K6" s="35" t="s">
        <v>117</v>
      </c>
      <c r="L6" s="8" t="s">
        <v>118</v>
      </c>
      <c r="M6" s="33" t="s">
        <v>119</v>
      </c>
      <c r="N6" s="8" t="s">
        <v>106</v>
      </c>
      <c r="O6" s="8" t="s">
        <v>120</v>
      </c>
      <c r="P6" s="8" t="s">
        <v>121</v>
      </c>
      <c r="Q6" s="9">
        <v>0</v>
      </c>
      <c r="R6" s="9">
        <v>0</v>
      </c>
      <c r="S6" s="8" t="s">
        <v>122</v>
      </c>
      <c r="T6" s="8" t="s">
        <v>110</v>
      </c>
      <c r="U6" s="8" t="s">
        <v>111</v>
      </c>
      <c r="V6" s="8" t="s">
        <v>112</v>
      </c>
      <c r="W6" s="8">
        <v>112166634</v>
      </c>
      <c r="X6" s="8" t="s">
        <v>123</v>
      </c>
      <c r="Y6" s="9">
        <v>3000</v>
      </c>
      <c r="Z6" s="9">
        <f t="shared" ca="1" si="2"/>
        <v>750</v>
      </c>
      <c r="AA6" s="9">
        <v>0</v>
      </c>
      <c r="AB6" s="9">
        <v>0</v>
      </c>
      <c r="AC6" s="9"/>
      <c r="AD6" s="9"/>
      <c r="AE6" s="9"/>
      <c r="AF6" s="9">
        <v>0</v>
      </c>
      <c r="AG6" s="9"/>
      <c r="AH6" s="9"/>
      <c r="AI6" s="9"/>
      <c r="AJ6" s="9"/>
      <c r="AK6" s="9"/>
      <c r="AL6" s="9">
        <v>0</v>
      </c>
      <c r="AM6" s="9">
        <v>1070</v>
      </c>
      <c r="AN6" s="9">
        <v>300</v>
      </c>
      <c r="AO6" s="9">
        <v>0</v>
      </c>
      <c r="AP6" s="9"/>
      <c r="AQ6" s="9">
        <v>650</v>
      </c>
      <c r="AR6" s="9"/>
      <c r="AS6" s="9">
        <v>0</v>
      </c>
      <c r="AT6" s="9"/>
      <c r="AU6" s="9">
        <f t="shared" ca="1" si="3"/>
        <v>4400</v>
      </c>
      <c r="AV6" s="36">
        <f t="shared" ca="1" si="4"/>
        <v>4400</v>
      </c>
      <c r="AW6" s="9">
        <f t="shared" ca="1" si="5"/>
        <v>5770</v>
      </c>
      <c r="AX6" s="9">
        <f ca="1">+(5.156*AU6)/100</f>
        <v>226.86399999999998</v>
      </c>
      <c r="AY6" s="36">
        <f t="shared" ca="1" si="6"/>
        <v>828.52</v>
      </c>
      <c r="AZ6" s="9">
        <f t="shared" ca="1" si="7"/>
        <v>343.2</v>
      </c>
      <c r="BA6" s="37">
        <f t="shared" ca="1" si="8"/>
        <v>7168.5839999999998</v>
      </c>
      <c r="BB6" s="9">
        <f ca="1">+AU6*(4.176)/100</f>
        <v>183.74400000000003</v>
      </c>
      <c r="BC6" s="36">
        <f t="shared" ca="1" si="9"/>
        <v>197.12000000000003</v>
      </c>
      <c r="BD6" s="9">
        <f t="shared" ca="1" si="10"/>
        <v>264</v>
      </c>
      <c r="BE6" s="9" t="e">
        <f ca="1">VLOOKUP(D:D,'IR '!D:T,17,0)</f>
        <v>#VALUE!</v>
      </c>
      <c r="BF6" s="37" t="e">
        <f t="shared" ca="1" si="11"/>
        <v>#VALUE!</v>
      </c>
      <c r="BG6" s="38">
        <f t="shared" ca="1" si="12"/>
        <v>36</v>
      </c>
      <c r="BH6" s="39">
        <f t="shared" ca="1" si="13"/>
        <v>92116.304399999994</v>
      </c>
      <c r="BI6" s="40">
        <f t="shared" ca="1" si="14"/>
        <v>30.209424083769633</v>
      </c>
      <c r="BJ6" s="36">
        <f t="shared" ca="1" si="15"/>
        <v>217507.85340314137</v>
      </c>
      <c r="BK6" s="48">
        <v>0</v>
      </c>
      <c r="BL6" s="40">
        <f t="shared" ref="BL6:BL8" ca="1" si="27">BJ6</f>
        <v>217507.85340314137</v>
      </c>
      <c r="BM6" s="34">
        <f t="shared" ca="1" si="16"/>
        <v>58.901369863013699</v>
      </c>
      <c r="BN6" s="34">
        <f t="shared" ca="1" si="17"/>
        <v>3</v>
      </c>
      <c r="BO6" s="40" t="e">
        <f t="shared" ca="1" si="18"/>
        <v>#VALUE!</v>
      </c>
      <c r="BP6" s="36" t="e">
        <f t="shared" ca="1" si="19"/>
        <v>#VALUE!</v>
      </c>
      <c r="BQ6" s="40" t="e">
        <f t="shared" ca="1" si="20"/>
        <v>#VALUE!</v>
      </c>
      <c r="BR6" s="43">
        <f t="shared" si="21"/>
        <v>45024</v>
      </c>
      <c r="BS6" s="44">
        <f t="shared" ca="1" si="22"/>
        <v>13.66735112936345</v>
      </c>
      <c r="BT6" s="45">
        <f t="shared" ca="1" si="23"/>
        <v>14</v>
      </c>
      <c r="BU6" s="46" t="e">
        <f t="shared" ca="1" si="24"/>
        <v>#VALUE!</v>
      </c>
      <c r="BV6" s="40">
        <f t="shared" ca="1" si="25"/>
        <v>58.901369863013699</v>
      </c>
      <c r="BW6" s="7"/>
      <c r="BX6" s="7"/>
      <c r="BY6" s="7"/>
      <c r="BZ6" s="7"/>
      <c r="CA6" s="7"/>
      <c r="CB6" s="7">
        <f t="shared" si="26"/>
        <v>0</v>
      </c>
      <c r="CC6" s="7"/>
      <c r="CD6" s="47"/>
    </row>
    <row r="7" spans="1:82" ht="10.5" customHeight="1">
      <c r="C7" s="8" t="s">
        <v>22</v>
      </c>
      <c r="D7" s="8" t="s">
        <v>23</v>
      </c>
      <c r="E7" s="8" t="s">
        <v>99</v>
      </c>
      <c r="F7" s="8" t="s">
        <v>100</v>
      </c>
      <c r="G7" s="33" t="s">
        <v>124</v>
      </c>
      <c r="H7" s="9">
        <f t="shared" ca="1" si="0"/>
        <v>17.723287671232878</v>
      </c>
      <c r="I7" s="34">
        <f t="shared" ca="1" si="1"/>
        <v>15</v>
      </c>
      <c r="J7" s="8" t="s">
        <v>102</v>
      </c>
      <c r="K7" s="35" t="s">
        <v>103</v>
      </c>
      <c r="L7" s="8" t="s">
        <v>125</v>
      </c>
      <c r="M7" s="33" t="s">
        <v>126</v>
      </c>
      <c r="N7" s="8" t="s">
        <v>106</v>
      </c>
      <c r="O7" s="8" t="s">
        <v>127</v>
      </c>
      <c r="P7" s="8" t="s">
        <v>108</v>
      </c>
      <c r="Q7" s="9">
        <v>3</v>
      </c>
      <c r="R7" s="9">
        <v>4</v>
      </c>
      <c r="S7" s="8" t="s">
        <v>128</v>
      </c>
      <c r="T7" s="8" t="s">
        <v>129</v>
      </c>
      <c r="U7" s="8" t="s">
        <v>111</v>
      </c>
      <c r="V7" s="8" t="s">
        <v>112</v>
      </c>
      <c r="W7" s="8">
        <v>126444654</v>
      </c>
      <c r="X7" s="8" t="s">
        <v>130</v>
      </c>
      <c r="Y7" s="9">
        <v>7000</v>
      </c>
      <c r="Z7" s="9">
        <f t="shared" ca="1" si="2"/>
        <v>1050</v>
      </c>
      <c r="AA7" s="9">
        <v>0</v>
      </c>
      <c r="AB7" s="9">
        <v>0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425</v>
      </c>
      <c r="AN7" s="9"/>
      <c r="AO7" s="9"/>
      <c r="AP7" s="9"/>
      <c r="AQ7" s="9">
        <v>520</v>
      </c>
      <c r="AR7" s="9"/>
      <c r="AS7" s="9"/>
      <c r="AT7" s="9"/>
      <c r="AU7" s="9">
        <f t="shared" ca="1" si="3"/>
        <v>8570</v>
      </c>
      <c r="AV7" s="36">
        <f t="shared" ca="1" si="4"/>
        <v>6000</v>
      </c>
      <c r="AW7" s="9">
        <f t="shared" ca="1" si="5"/>
        <v>8995</v>
      </c>
      <c r="AX7" s="9">
        <f ca="1">5.273%*AU7</f>
        <v>451.89609999999999</v>
      </c>
      <c r="AY7" s="36">
        <f t="shared" ca="1" si="6"/>
        <v>1382.9449999999999</v>
      </c>
      <c r="AZ7" s="9">
        <f t="shared" ca="1" si="7"/>
        <v>668.46</v>
      </c>
      <c r="BA7" s="37">
        <f t="shared" ca="1" si="8"/>
        <v>11498.301100000001</v>
      </c>
      <c r="BB7" s="9">
        <f ca="1">+AU7*(4.06)/100</f>
        <v>347.94199999999995</v>
      </c>
      <c r="BC7" s="36">
        <f t="shared" ca="1" si="9"/>
        <v>268.8</v>
      </c>
      <c r="BD7" s="9">
        <f t="shared" ca="1" si="10"/>
        <v>514.19999999999993</v>
      </c>
      <c r="BE7" s="9" t="e">
        <f ca="1">VLOOKUP(D:D,'IR '!D:T,17,0)</f>
        <v>#VALUE!</v>
      </c>
      <c r="BF7" s="37" t="e">
        <f t="shared" ca="1" si="11"/>
        <v>#VALUE!</v>
      </c>
      <c r="BG7" s="38">
        <f t="shared" ca="1" si="12"/>
        <v>18</v>
      </c>
      <c r="BH7" s="39">
        <f t="shared" ca="1" si="13"/>
        <v>147753.169135</v>
      </c>
      <c r="BI7" s="40">
        <f t="shared" ca="1" si="14"/>
        <v>47.094240837696333</v>
      </c>
      <c r="BJ7" s="36">
        <f t="shared" ca="1" si="15"/>
        <v>135631.41361256543</v>
      </c>
      <c r="BK7" s="48">
        <v>0</v>
      </c>
      <c r="BL7" s="40">
        <f t="shared" ca="1" si="27"/>
        <v>135631.41361256543</v>
      </c>
      <c r="BM7" s="34">
        <f t="shared" ca="1" si="16"/>
        <v>45.660273972602738</v>
      </c>
      <c r="BN7" s="34">
        <f t="shared" ca="1" si="17"/>
        <v>3</v>
      </c>
      <c r="BO7" s="40" t="e">
        <f t="shared" ca="1" si="18"/>
        <v>#VALUE!</v>
      </c>
      <c r="BP7" s="36" t="e">
        <f t="shared" ca="1" si="19"/>
        <v>#VALUE!</v>
      </c>
      <c r="BQ7" s="40" t="e">
        <f t="shared" ca="1" si="20"/>
        <v>#VALUE!</v>
      </c>
      <c r="BR7" s="43">
        <f t="shared" si="21"/>
        <v>49857</v>
      </c>
      <c r="BS7" s="44">
        <f t="shared" ca="1" si="22"/>
        <v>172.4517453798768</v>
      </c>
      <c r="BT7" s="45">
        <f t="shared" ca="1" si="23"/>
        <v>173</v>
      </c>
      <c r="BU7" s="46" t="e">
        <f t="shared" ca="1" si="24"/>
        <v>#VALUE!</v>
      </c>
      <c r="BV7" s="40">
        <f t="shared" ca="1" si="25"/>
        <v>45.660273972602738</v>
      </c>
      <c r="BW7" s="7" t="e">
        <f>VLOOKUP(D:D,[2]BDD!$B:$T,19,0)</f>
        <v>#N/A</v>
      </c>
      <c r="BX7" s="7"/>
      <c r="BY7" s="7"/>
      <c r="BZ7" s="7"/>
      <c r="CA7" s="7"/>
      <c r="CB7" s="7">
        <f t="shared" si="26"/>
        <v>0</v>
      </c>
      <c r="CC7" s="7"/>
      <c r="CD7" s="47"/>
    </row>
    <row r="8" spans="1:82" ht="10.5" customHeight="1">
      <c r="C8" s="8" t="s">
        <v>24</v>
      </c>
      <c r="D8" s="8" t="s">
        <v>25</v>
      </c>
      <c r="E8" s="8" t="s">
        <v>99</v>
      </c>
      <c r="F8" s="8" t="s">
        <v>100</v>
      </c>
      <c r="G8" s="33">
        <v>44455</v>
      </c>
      <c r="H8" s="9">
        <f t="shared" ca="1" si="0"/>
        <v>0.41917808219178082</v>
      </c>
      <c r="I8" s="34">
        <f t="shared" ca="1" si="1"/>
        <v>0</v>
      </c>
      <c r="J8" s="8" t="s">
        <v>131</v>
      </c>
      <c r="K8" s="35" t="s">
        <v>132</v>
      </c>
      <c r="L8" s="8" t="s">
        <v>104</v>
      </c>
      <c r="M8" s="33" t="s">
        <v>133</v>
      </c>
      <c r="N8" s="8" t="s">
        <v>106</v>
      </c>
      <c r="O8" s="8" t="s">
        <v>134</v>
      </c>
      <c r="P8" s="8" t="s">
        <v>121</v>
      </c>
      <c r="Q8" s="9">
        <v>0</v>
      </c>
      <c r="R8" s="9">
        <v>0</v>
      </c>
      <c r="S8" s="8" t="s">
        <v>135</v>
      </c>
      <c r="T8" s="8" t="s">
        <v>136</v>
      </c>
      <c r="U8" s="8" t="s">
        <v>111</v>
      </c>
      <c r="V8" s="8" t="s">
        <v>112</v>
      </c>
      <c r="W8" s="8">
        <v>196068286</v>
      </c>
      <c r="X8" s="8" t="s">
        <v>137</v>
      </c>
      <c r="Y8" s="9">
        <v>4000</v>
      </c>
      <c r="Z8" s="9">
        <f t="shared" ca="1" si="2"/>
        <v>0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>
        <v>700</v>
      </c>
      <c r="AN8" s="9"/>
      <c r="AO8" s="9"/>
      <c r="AP8" s="9"/>
      <c r="AQ8" s="9"/>
      <c r="AR8" s="9"/>
      <c r="AS8" s="9"/>
      <c r="AT8" s="9"/>
      <c r="AU8" s="9">
        <f t="shared" ca="1" si="3"/>
        <v>4000</v>
      </c>
      <c r="AV8" s="36">
        <f t="shared" ca="1" si="4"/>
        <v>4000</v>
      </c>
      <c r="AW8" s="9">
        <f t="shared" ca="1" si="5"/>
        <v>4700</v>
      </c>
      <c r="AX8" s="9">
        <f ca="1">5.565%*AU8</f>
        <v>222.60000000000002</v>
      </c>
      <c r="AY8" s="36">
        <f t="shared" ca="1" si="6"/>
        <v>753.2</v>
      </c>
      <c r="AZ8" s="9">
        <f t="shared" ca="1" si="7"/>
        <v>312</v>
      </c>
      <c r="BA8" s="37">
        <f t="shared" ca="1" si="8"/>
        <v>5987.8</v>
      </c>
      <c r="BB8" s="9">
        <f ca="1">+AU8*(5)/100</f>
        <v>200</v>
      </c>
      <c r="BC8" s="36">
        <f t="shared" ca="1" si="9"/>
        <v>179.20000000000002</v>
      </c>
      <c r="BD8" s="9">
        <f t="shared" ca="1" si="10"/>
        <v>240</v>
      </c>
      <c r="BE8" s="9" t="e">
        <f ca="1">VLOOKUP(D:D,'IR '!D:T,17,0)</f>
        <v>#VALUE!</v>
      </c>
      <c r="BF8" s="37" t="e">
        <f t="shared" ca="1" si="11"/>
        <v>#VALUE!</v>
      </c>
      <c r="BG8" s="38">
        <f t="shared" ca="1" si="12"/>
        <v>1</v>
      </c>
      <c r="BH8" s="39">
        <f t="shared" ca="1" si="13"/>
        <v>76943.23</v>
      </c>
      <c r="BI8" s="40">
        <f t="shared" ca="1" si="14"/>
        <v>24.607329842931936</v>
      </c>
      <c r="BJ8" s="36">
        <f t="shared" ca="1" si="15"/>
        <v>2362.303664921466</v>
      </c>
      <c r="BK8" s="48">
        <v>0</v>
      </c>
      <c r="BL8" s="40">
        <f t="shared" ca="1" si="27"/>
        <v>2362.303664921466</v>
      </c>
      <c r="BM8" s="34">
        <f t="shared" ca="1" si="16"/>
        <v>33.854794520547948</v>
      </c>
      <c r="BN8" s="34">
        <f t="shared" ca="1" si="17"/>
        <v>1</v>
      </c>
      <c r="BO8" s="40" t="e">
        <f t="shared" ca="1" si="18"/>
        <v>#VALUE!</v>
      </c>
      <c r="BP8" s="36" t="e">
        <f t="shared" ca="1" si="19"/>
        <v>#VALUE!</v>
      </c>
      <c r="BQ8" s="40" t="e">
        <f t="shared" ca="1" si="20"/>
        <v>#VALUE!</v>
      </c>
      <c r="BR8" s="43">
        <f t="shared" si="21"/>
        <v>54166</v>
      </c>
      <c r="BS8" s="44">
        <f t="shared" ca="1" si="22"/>
        <v>314.02053388090349</v>
      </c>
      <c r="BT8" s="45">
        <f t="shared" ca="1" si="23"/>
        <v>315</v>
      </c>
      <c r="BU8" s="46" t="e">
        <f t="shared" ca="1" si="24"/>
        <v>#VALUE!</v>
      </c>
      <c r="BV8" s="40">
        <f t="shared" ca="1" si="25"/>
        <v>33.854794520547948</v>
      </c>
      <c r="BW8" s="7"/>
      <c r="BX8" s="7"/>
      <c r="BY8" s="7"/>
      <c r="BZ8" s="7"/>
      <c r="CA8" s="7"/>
      <c r="CB8" s="7"/>
      <c r="CC8" s="7"/>
      <c r="CD8" s="47"/>
    </row>
    <row r="9" spans="1:82" ht="10.5" customHeight="1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7"/>
      <c r="BB9" s="15"/>
      <c r="BC9" s="15"/>
      <c r="BD9" s="15"/>
      <c r="BE9" s="15"/>
      <c r="BF9" s="17"/>
      <c r="BG9" s="15"/>
      <c r="BH9" s="15"/>
      <c r="BI9" s="18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9"/>
      <c r="BV9" s="15"/>
      <c r="BW9" s="15"/>
      <c r="BX9" s="15"/>
      <c r="BY9" s="15"/>
      <c r="BZ9" s="15"/>
      <c r="CA9" s="15"/>
      <c r="CB9" s="15"/>
      <c r="CC9" s="15"/>
      <c r="CD9" s="20"/>
    </row>
    <row r="10" spans="1:82" ht="10.5" customHeight="1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7"/>
      <c r="BB10" s="15"/>
      <c r="BC10" s="15"/>
      <c r="BD10" s="15"/>
      <c r="BE10" s="15"/>
      <c r="BF10" s="17"/>
      <c r="BG10" s="15"/>
      <c r="BH10" s="15"/>
      <c r="BI10" s="18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9"/>
      <c r="BV10" s="15"/>
      <c r="BW10" s="15"/>
      <c r="BX10" s="15"/>
      <c r="BY10" s="15"/>
      <c r="BZ10" s="15"/>
      <c r="CA10" s="15"/>
      <c r="CB10" s="15"/>
      <c r="CC10" s="15"/>
      <c r="CD10" s="20"/>
    </row>
    <row r="11" spans="1:82" ht="10.5" customHeight="1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7"/>
      <c r="BB11" s="15"/>
      <c r="BC11" s="15"/>
      <c r="BD11" s="15"/>
      <c r="BE11" s="15"/>
      <c r="BF11" s="17"/>
      <c r="BG11" s="15"/>
      <c r="BH11" s="15"/>
      <c r="BI11" s="18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9"/>
      <c r="BV11" s="15"/>
      <c r="BW11" s="15"/>
      <c r="BX11" s="15"/>
      <c r="BY11" s="15"/>
      <c r="BZ11" s="15"/>
      <c r="CA11" s="15"/>
      <c r="CB11" s="15"/>
      <c r="CC11" s="15"/>
      <c r="CD11" s="20"/>
    </row>
    <row r="12" spans="1:82" ht="10.5" customHeight="1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7"/>
      <c r="BB12" s="15"/>
      <c r="BC12" s="15"/>
      <c r="BD12" s="15"/>
      <c r="BE12" s="15"/>
      <c r="BF12" s="17"/>
      <c r="BG12" s="15"/>
      <c r="BH12" s="15"/>
      <c r="BI12" s="18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9"/>
      <c r="BV12" s="15"/>
      <c r="BW12" s="15"/>
      <c r="BX12" s="15"/>
      <c r="BY12" s="15"/>
      <c r="BZ12" s="15"/>
      <c r="CA12" s="15"/>
      <c r="CB12" s="15"/>
      <c r="CC12" s="15"/>
      <c r="CD12" s="20"/>
    </row>
    <row r="13" spans="1:82" ht="10.5" customHeight="1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7"/>
      <c r="BB13" s="15"/>
      <c r="BC13" s="15"/>
      <c r="BD13" s="15"/>
      <c r="BE13" s="15"/>
      <c r="BF13" s="17"/>
      <c r="BG13" s="15"/>
      <c r="BH13" s="15"/>
      <c r="BI13" s="18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9"/>
      <c r="BV13" s="15"/>
      <c r="BW13" s="15"/>
      <c r="BX13" s="15"/>
      <c r="BY13" s="15"/>
      <c r="BZ13" s="15"/>
      <c r="CA13" s="15"/>
      <c r="CB13" s="15"/>
      <c r="CC13" s="15"/>
      <c r="CD13" s="20"/>
    </row>
    <row r="14" spans="1:82" ht="10.5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7"/>
      <c r="BB14" s="15"/>
      <c r="BC14" s="15"/>
      <c r="BD14" s="15"/>
      <c r="BE14" s="15"/>
      <c r="BF14" s="17"/>
      <c r="BG14" s="15"/>
      <c r="BH14" s="15"/>
      <c r="BI14" s="18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9"/>
      <c r="BV14" s="15"/>
      <c r="BW14" s="15"/>
      <c r="BX14" s="15"/>
      <c r="BY14" s="15"/>
      <c r="BZ14" s="15"/>
      <c r="CA14" s="15"/>
      <c r="CB14" s="15"/>
      <c r="CC14" s="15"/>
      <c r="CD14" s="20"/>
    </row>
    <row r="15" spans="1:82" ht="10.5" customHeight="1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7"/>
      <c r="BB15" s="15"/>
      <c r="BC15" s="15"/>
      <c r="BD15" s="15"/>
      <c r="BE15" s="15"/>
      <c r="BF15" s="17"/>
      <c r="BG15" s="15"/>
      <c r="BH15" s="15"/>
      <c r="BI15" s="18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9"/>
      <c r="BV15" s="15"/>
      <c r="BW15" s="15"/>
      <c r="BX15" s="15"/>
      <c r="BY15" s="15"/>
      <c r="BZ15" s="15"/>
      <c r="CA15" s="15"/>
      <c r="CB15" s="15"/>
      <c r="CC15" s="15"/>
      <c r="CD15" s="20"/>
    </row>
    <row r="16" spans="1:82" ht="10.5" customHeight="1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7"/>
      <c r="BB16" s="15"/>
      <c r="BC16" s="15"/>
      <c r="BD16" s="15"/>
      <c r="BE16" s="15"/>
      <c r="BF16" s="17"/>
      <c r="BG16" s="15"/>
      <c r="BH16" s="15"/>
      <c r="BI16" s="18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9"/>
      <c r="BV16" s="15"/>
      <c r="BW16" s="15"/>
      <c r="BX16" s="15"/>
      <c r="BY16" s="15"/>
      <c r="BZ16" s="15"/>
      <c r="CA16" s="15"/>
      <c r="CB16" s="15"/>
      <c r="CC16" s="15"/>
      <c r="CD16" s="20"/>
    </row>
    <row r="17" spans="3:82" ht="10.5" customHeight="1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7"/>
      <c r="BB17" s="15"/>
      <c r="BC17" s="15"/>
      <c r="BD17" s="15"/>
      <c r="BE17" s="15"/>
      <c r="BF17" s="17"/>
      <c r="BG17" s="15"/>
      <c r="BH17" s="15"/>
      <c r="BI17" s="18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9"/>
      <c r="BV17" s="15"/>
      <c r="BW17" s="15"/>
      <c r="BX17" s="15"/>
      <c r="BY17" s="15"/>
      <c r="BZ17" s="15"/>
      <c r="CA17" s="15"/>
      <c r="CB17" s="15"/>
      <c r="CC17" s="15"/>
      <c r="CD17" s="20"/>
    </row>
    <row r="18" spans="3:82" ht="10.5" customHeight="1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7"/>
      <c r="BB18" s="15"/>
      <c r="BC18" s="15"/>
      <c r="BD18" s="15"/>
      <c r="BE18" s="15"/>
      <c r="BF18" s="17"/>
      <c r="BG18" s="15"/>
      <c r="BH18" s="15"/>
      <c r="BI18" s="18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9"/>
      <c r="BV18" s="15"/>
      <c r="BW18" s="15"/>
      <c r="BX18" s="15"/>
      <c r="BY18" s="15"/>
      <c r="BZ18" s="15"/>
      <c r="CA18" s="15"/>
      <c r="CB18" s="15"/>
      <c r="CC18" s="15"/>
      <c r="CD18" s="20"/>
    </row>
    <row r="19" spans="3:82" ht="10.5" customHeight="1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7"/>
      <c r="BB19" s="15"/>
      <c r="BC19" s="15"/>
      <c r="BD19" s="15"/>
      <c r="BE19" s="15"/>
      <c r="BF19" s="17"/>
      <c r="BG19" s="15"/>
      <c r="BH19" s="15"/>
      <c r="BI19" s="18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9"/>
      <c r="BV19" s="15"/>
      <c r="BW19" s="15"/>
      <c r="BX19" s="15"/>
      <c r="BY19" s="15"/>
      <c r="BZ19" s="15"/>
      <c r="CA19" s="15"/>
      <c r="CB19" s="15"/>
      <c r="CC19" s="15"/>
      <c r="CD19" s="20"/>
    </row>
    <row r="20" spans="3:82" ht="10.5" customHeight="1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7"/>
      <c r="BB20" s="15"/>
      <c r="BC20" s="15"/>
      <c r="BD20" s="15"/>
      <c r="BE20" s="15"/>
      <c r="BF20" s="17"/>
      <c r="BG20" s="15"/>
      <c r="BH20" s="15"/>
      <c r="BI20" s="18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9"/>
      <c r="BV20" s="15"/>
      <c r="BW20" s="15"/>
      <c r="BX20" s="15"/>
      <c r="BY20" s="15"/>
      <c r="BZ20" s="15"/>
      <c r="CA20" s="15"/>
      <c r="CB20" s="15"/>
      <c r="CC20" s="15"/>
      <c r="CD20" s="20"/>
    </row>
    <row r="21" spans="3:82" ht="10.5" customHeight="1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7"/>
      <c r="BB21" s="15"/>
      <c r="BC21" s="15"/>
      <c r="BD21" s="15"/>
      <c r="BE21" s="15"/>
      <c r="BF21" s="17"/>
      <c r="BG21" s="15"/>
      <c r="BH21" s="15"/>
      <c r="BI21" s="18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9"/>
      <c r="BV21" s="15"/>
      <c r="BW21" s="15"/>
      <c r="BX21" s="15"/>
      <c r="BY21" s="15"/>
      <c r="BZ21" s="15"/>
      <c r="CA21" s="15"/>
      <c r="CB21" s="15"/>
      <c r="CC21" s="15"/>
      <c r="CD21" s="20"/>
    </row>
    <row r="22" spans="3:82" ht="10.5" customHeight="1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7"/>
      <c r="BB22" s="15"/>
      <c r="BC22" s="15"/>
      <c r="BD22" s="15"/>
      <c r="BE22" s="15"/>
      <c r="BF22" s="17"/>
      <c r="BG22" s="15"/>
      <c r="BH22" s="15"/>
      <c r="BI22" s="18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9"/>
      <c r="BV22" s="15"/>
      <c r="BW22" s="15"/>
      <c r="BX22" s="15"/>
      <c r="BY22" s="15"/>
      <c r="BZ22" s="15"/>
      <c r="CA22" s="15"/>
      <c r="CB22" s="15"/>
      <c r="CC22" s="15"/>
      <c r="CD22" s="20"/>
    </row>
    <row r="23" spans="3:82" ht="10.5" customHeight="1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7"/>
      <c r="BB23" s="15"/>
      <c r="BC23" s="15"/>
      <c r="BD23" s="15"/>
      <c r="BE23" s="15"/>
      <c r="BF23" s="17"/>
      <c r="BG23" s="15"/>
      <c r="BH23" s="15"/>
      <c r="BI23" s="18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9"/>
      <c r="BV23" s="15"/>
      <c r="BW23" s="15"/>
      <c r="BX23" s="15"/>
      <c r="BY23" s="15"/>
      <c r="BZ23" s="15"/>
      <c r="CA23" s="15"/>
      <c r="CB23" s="15"/>
      <c r="CC23" s="15"/>
      <c r="CD23" s="20"/>
    </row>
    <row r="24" spans="3:82" ht="10.5" customHeight="1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7"/>
      <c r="BB24" s="15"/>
      <c r="BC24" s="15"/>
      <c r="BD24" s="15"/>
      <c r="BE24" s="15"/>
      <c r="BF24" s="17"/>
      <c r="BG24" s="15"/>
      <c r="BH24" s="15"/>
      <c r="BI24" s="18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9"/>
      <c r="BV24" s="15"/>
      <c r="BW24" s="15"/>
      <c r="BX24" s="15"/>
      <c r="BY24" s="15"/>
      <c r="BZ24" s="15"/>
      <c r="CA24" s="15"/>
      <c r="CB24" s="15"/>
      <c r="CC24" s="15"/>
      <c r="CD24" s="20"/>
    </row>
    <row r="25" spans="3:82" ht="10.5" customHeight="1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7"/>
      <c r="BB25" s="15"/>
      <c r="BC25" s="15"/>
      <c r="BD25" s="15"/>
      <c r="BE25" s="15"/>
      <c r="BF25" s="17"/>
      <c r="BG25" s="15"/>
      <c r="BH25" s="15"/>
      <c r="BI25" s="18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9"/>
      <c r="BV25" s="15"/>
      <c r="BW25" s="15"/>
      <c r="BX25" s="15"/>
      <c r="BY25" s="15"/>
      <c r="BZ25" s="15"/>
      <c r="CA25" s="15"/>
      <c r="CB25" s="15"/>
      <c r="CC25" s="15"/>
      <c r="CD25" s="20"/>
    </row>
    <row r="26" spans="3:82" ht="10.5" customHeight="1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7"/>
      <c r="BB26" s="15"/>
      <c r="BC26" s="15"/>
      <c r="BD26" s="15"/>
      <c r="BE26" s="15"/>
      <c r="BF26" s="17"/>
      <c r="BG26" s="15"/>
      <c r="BH26" s="15"/>
      <c r="BI26" s="18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9"/>
      <c r="BV26" s="15"/>
      <c r="BW26" s="15"/>
      <c r="BX26" s="15"/>
      <c r="BY26" s="15"/>
      <c r="BZ26" s="15"/>
      <c r="CA26" s="15"/>
      <c r="CB26" s="15"/>
      <c r="CC26" s="15"/>
      <c r="CD26" s="20"/>
    </row>
    <row r="27" spans="3:82" ht="10.5" customHeight="1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7"/>
      <c r="BB27" s="15"/>
      <c r="BC27" s="15"/>
      <c r="BD27" s="15"/>
      <c r="BE27" s="15"/>
      <c r="BF27" s="17"/>
      <c r="BG27" s="15"/>
      <c r="BH27" s="15"/>
      <c r="BI27" s="18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9"/>
      <c r="BV27" s="15"/>
      <c r="BW27" s="15"/>
      <c r="BX27" s="15"/>
      <c r="BY27" s="15"/>
      <c r="BZ27" s="15"/>
      <c r="CA27" s="15"/>
      <c r="CB27" s="15"/>
      <c r="CC27" s="15"/>
      <c r="CD27" s="20"/>
    </row>
    <row r="28" spans="3:82" ht="10.5" customHeight="1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7"/>
      <c r="BB28" s="15"/>
      <c r="BC28" s="15"/>
      <c r="BD28" s="15"/>
      <c r="BE28" s="15"/>
      <c r="BF28" s="17"/>
      <c r="BG28" s="15"/>
      <c r="BH28" s="15"/>
      <c r="BI28" s="18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9"/>
      <c r="BV28" s="15"/>
      <c r="BW28" s="15"/>
      <c r="BX28" s="15"/>
      <c r="BY28" s="15"/>
      <c r="BZ28" s="15"/>
      <c r="CA28" s="15"/>
      <c r="CB28" s="15"/>
      <c r="CC28" s="15"/>
      <c r="CD28" s="20"/>
    </row>
    <row r="29" spans="3:82" ht="10.5" customHeight="1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7"/>
      <c r="BB29" s="15"/>
      <c r="BC29" s="15"/>
      <c r="BD29" s="15"/>
      <c r="BE29" s="15"/>
      <c r="BF29" s="17"/>
      <c r="BG29" s="15"/>
      <c r="BH29" s="15"/>
      <c r="BI29" s="18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9"/>
      <c r="BV29" s="15"/>
      <c r="BW29" s="15"/>
      <c r="BX29" s="15"/>
      <c r="BY29" s="15"/>
      <c r="BZ29" s="15"/>
      <c r="CA29" s="15"/>
      <c r="CB29" s="15"/>
      <c r="CC29" s="15"/>
      <c r="CD29" s="20"/>
    </row>
    <row r="30" spans="3:82" ht="10.5" customHeight="1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7"/>
      <c r="BB30" s="15"/>
      <c r="BC30" s="15"/>
      <c r="BD30" s="15"/>
      <c r="BE30" s="15"/>
      <c r="BF30" s="17"/>
      <c r="BG30" s="15"/>
      <c r="BH30" s="15"/>
      <c r="BI30" s="18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9"/>
      <c r="BV30" s="15"/>
      <c r="BW30" s="15"/>
      <c r="BX30" s="15"/>
      <c r="BY30" s="15"/>
      <c r="BZ30" s="15"/>
      <c r="CA30" s="15"/>
      <c r="CB30" s="15"/>
      <c r="CC30" s="15"/>
      <c r="CD30" s="20"/>
    </row>
    <row r="31" spans="3:82" ht="10.5" customHeight="1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7"/>
      <c r="BB31" s="15"/>
      <c r="BC31" s="15"/>
      <c r="BD31" s="15"/>
      <c r="BE31" s="15"/>
      <c r="BF31" s="17"/>
      <c r="BG31" s="15"/>
      <c r="BH31" s="15"/>
      <c r="BI31" s="18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9"/>
      <c r="BV31" s="15"/>
      <c r="BW31" s="15"/>
      <c r="BX31" s="15"/>
      <c r="BY31" s="15"/>
      <c r="BZ31" s="15"/>
      <c r="CA31" s="15"/>
      <c r="CB31" s="15"/>
      <c r="CC31" s="15"/>
      <c r="CD31" s="20"/>
    </row>
    <row r="32" spans="3:82" ht="10.5" customHeight="1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7"/>
      <c r="BB32" s="15"/>
      <c r="BC32" s="15"/>
      <c r="BD32" s="15"/>
      <c r="BE32" s="15"/>
      <c r="BF32" s="17"/>
      <c r="BG32" s="15"/>
      <c r="BH32" s="15"/>
      <c r="BI32" s="18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9"/>
      <c r="BV32" s="15"/>
      <c r="BW32" s="15"/>
      <c r="BX32" s="15"/>
      <c r="BY32" s="15"/>
      <c r="BZ32" s="15"/>
      <c r="CA32" s="15"/>
      <c r="CB32" s="15"/>
      <c r="CC32" s="15"/>
      <c r="CD32" s="20"/>
    </row>
    <row r="33" spans="3:82" ht="10.5" customHeight="1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7"/>
      <c r="BB33" s="15"/>
      <c r="BC33" s="15"/>
      <c r="BD33" s="15"/>
      <c r="BE33" s="15"/>
      <c r="BF33" s="17"/>
      <c r="BG33" s="15"/>
      <c r="BH33" s="15"/>
      <c r="BI33" s="18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9"/>
      <c r="BV33" s="15"/>
      <c r="BW33" s="15"/>
      <c r="BX33" s="15"/>
      <c r="BY33" s="15"/>
      <c r="BZ33" s="15"/>
      <c r="CA33" s="15"/>
      <c r="CB33" s="15"/>
      <c r="CC33" s="15"/>
      <c r="CD33" s="20"/>
    </row>
    <row r="34" spans="3:82" ht="10.5" customHeight="1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7"/>
      <c r="BB34" s="15"/>
      <c r="BC34" s="15"/>
      <c r="BD34" s="15"/>
      <c r="BE34" s="15"/>
      <c r="BF34" s="17"/>
      <c r="BG34" s="15"/>
      <c r="BH34" s="15"/>
      <c r="BI34" s="18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9"/>
      <c r="BV34" s="15"/>
      <c r="BW34" s="15"/>
      <c r="BX34" s="15"/>
      <c r="BY34" s="15"/>
      <c r="BZ34" s="15"/>
      <c r="CA34" s="15"/>
      <c r="CB34" s="15"/>
      <c r="CC34" s="15"/>
      <c r="CD34" s="20"/>
    </row>
    <row r="35" spans="3:82" ht="10.5" customHeight="1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7"/>
      <c r="BB35" s="15"/>
      <c r="BC35" s="15"/>
      <c r="BD35" s="15"/>
      <c r="BE35" s="15"/>
      <c r="BF35" s="17"/>
      <c r="BG35" s="15"/>
      <c r="BH35" s="15"/>
      <c r="BI35" s="18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9"/>
      <c r="BV35" s="15"/>
      <c r="BW35" s="15"/>
      <c r="BX35" s="15"/>
      <c r="BY35" s="15"/>
      <c r="BZ35" s="15"/>
      <c r="CA35" s="15"/>
      <c r="CB35" s="15"/>
      <c r="CC35" s="15"/>
      <c r="CD35" s="20"/>
    </row>
    <row r="36" spans="3:82" ht="10.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7"/>
      <c r="BB36" s="15"/>
      <c r="BC36" s="15"/>
      <c r="BD36" s="15"/>
      <c r="BE36" s="15"/>
      <c r="BF36" s="17"/>
      <c r="BG36" s="15"/>
      <c r="BH36" s="15"/>
      <c r="BI36" s="18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9"/>
      <c r="BV36" s="15"/>
      <c r="BW36" s="15"/>
      <c r="BX36" s="15"/>
      <c r="BY36" s="15"/>
      <c r="BZ36" s="15"/>
      <c r="CA36" s="15"/>
      <c r="CB36" s="15"/>
      <c r="CC36" s="15"/>
      <c r="CD36" s="20"/>
    </row>
    <row r="37" spans="3:82" ht="10.5" customHeight="1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7"/>
      <c r="BB37" s="15"/>
      <c r="BC37" s="15"/>
      <c r="BD37" s="15"/>
      <c r="BE37" s="15"/>
      <c r="BF37" s="17"/>
      <c r="BG37" s="15"/>
      <c r="BH37" s="15"/>
      <c r="BI37" s="18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9"/>
      <c r="BV37" s="15"/>
      <c r="BW37" s="15"/>
      <c r="BX37" s="15"/>
      <c r="BY37" s="15"/>
      <c r="BZ37" s="15"/>
      <c r="CA37" s="15"/>
      <c r="CB37" s="15"/>
      <c r="CC37" s="15"/>
      <c r="CD37" s="20"/>
    </row>
    <row r="38" spans="3:82" ht="10.5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7"/>
      <c r="BB38" s="15"/>
      <c r="BC38" s="15"/>
      <c r="BD38" s="15"/>
      <c r="BE38" s="15"/>
      <c r="BF38" s="17"/>
      <c r="BG38" s="15"/>
      <c r="BH38" s="15"/>
      <c r="BI38" s="18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9"/>
      <c r="BV38" s="15"/>
      <c r="BW38" s="15"/>
      <c r="BX38" s="15"/>
      <c r="BY38" s="15"/>
      <c r="BZ38" s="15"/>
      <c r="CA38" s="15"/>
      <c r="CB38" s="15"/>
      <c r="CC38" s="15"/>
      <c r="CD38" s="20"/>
    </row>
    <row r="39" spans="3:82" ht="10.5" customHeight="1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7"/>
      <c r="BB39" s="15"/>
      <c r="BC39" s="15"/>
      <c r="BD39" s="15"/>
      <c r="BE39" s="15"/>
      <c r="BF39" s="17"/>
      <c r="BG39" s="15"/>
      <c r="BH39" s="15"/>
      <c r="BI39" s="18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9"/>
      <c r="BV39" s="15"/>
      <c r="BW39" s="15"/>
      <c r="BX39" s="15"/>
      <c r="BY39" s="15"/>
      <c r="BZ39" s="15"/>
      <c r="CA39" s="15"/>
      <c r="CB39" s="15"/>
      <c r="CC39" s="15"/>
      <c r="CD39" s="20"/>
    </row>
    <row r="40" spans="3:82" ht="10.5" customHeight="1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7"/>
      <c r="BB40" s="15"/>
      <c r="BC40" s="15"/>
      <c r="BD40" s="15"/>
      <c r="BE40" s="15"/>
      <c r="BF40" s="17"/>
      <c r="BG40" s="15"/>
      <c r="BH40" s="15"/>
      <c r="BI40" s="18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9"/>
      <c r="BV40" s="15"/>
      <c r="BW40" s="15"/>
      <c r="BX40" s="15"/>
      <c r="BY40" s="15"/>
      <c r="BZ40" s="15"/>
      <c r="CA40" s="15"/>
      <c r="CB40" s="15"/>
      <c r="CC40" s="15"/>
      <c r="CD40" s="20"/>
    </row>
    <row r="41" spans="3:82" ht="10.5" customHeight="1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  <c r="BB41" s="15"/>
      <c r="BC41" s="15"/>
      <c r="BD41" s="15"/>
      <c r="BE41" s="15"/>
      <c r="BF41" s="17"/>
      <c r="BG41" s="15"/>
      <c r="BH41" s="15"/>
      <c r="BI41" s="18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9"/>
      <c r="BV41" s="15"/>
      <c r="BW41" s="15"/>
      <c r="BX41" s="15"/>
      <c r="BY41" s="15"/>
      <c r="BZ41" s="15"/>
      <c r="CA41" s="15"/>
      <c r="CB41" s="15"/>
      <c r="CC41" s="15"/>
      <c r="CD41" s="20"/>
    </row>
    <row r="42" spans="3:82" ht="10.5" customHeight="1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  <c r="BB42" s="15"/>
      <c r="BC42" s="15"/>
      <c r="BD42" s="15"/>
      <c r="BE42" s="15"/>
      <c r="BF42" s="17"/>
      <c r="BG42" s="15"/>
      <c r="BH42" s="15"/>
      <c r="BI42" s="18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9"/>
      <c r="BV42" s="15"/>
      <c r="BW42" s="15"/>
      <c r="BX42" s="15"/>
      <c r="BY42" s="15"/>
      <c r="BZ42" s="15"/>
      <c r="CA42" s="15"/>
      <c r="CB42" s="15"/>
      <c r="CC42" s="15"/>
      <c r="CD42" s="20"/>
    </row>
    <row r="43" spans="3:82" ht="10.5" customHeight="1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7"/>
      <c r="BB43" s="15"/>
      <c r="BC43" s="15"/>
      <c r="BD43" s="15"/>
      <c r="BE43" s="15"/>
      <c r="BF43" s="17"/>
      <c r="BG43" s="15"/>
      <c r="BH43" s="15"/>
      <c r="BI43" s="18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9"/>
      <c r="BV43" s="15"/>
      <c r="BW43" s="15"/>
      <c r="BX43" s="15"/>
      <c r="BY43" s="15"/>
      <c r="BZ43" s="15"/>
      <c r="CA43" s="15"/>
      <c r="CB43" s="15"/>
      <c r="CC43" s="15"/>
      <c r="CD43" s="20"/>
    </row>
    <row r="44" spans="3:82" ht="10.5" customHeight="1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7"/>
      <c r="BB44" s="15"/>
      <c r="BC44" s="15"/>
      <c r="BD44" s="15"/>
      <c r="BE44" s="15"/>
      <c r="BF44" s="17"/>
      <c r="BG44" s="15"/>
      <c r="BH44" s="15"/>
      <c r="BI44" s="18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9"/>
      <c r="BV44" s="15"/>
      <c r="BW44" s="15"/>
      <c r="BX44" s="15"/>
      <c r="BY44" s="15"/>
      <c r="BZ44" s="15"/>
      <c r="CA44" s="15"/>
      <c r="CB44" s="15"/>
      <c r="CC44" s="15"/>
      <c r="CD44" s="20"/>
    </row>
    <row r="45" spans="3:82" ht="10.5" customHeight="1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7"/>
      <c r="BB45" s="15"/>
      <c r="BC45" s="15"/>
      <c r="BD45" s="15"/>
      <c r="BE45" s="15"/>
      <c r="BF45" s="17"/>
      <c r="BG45" s="15"/>
      <c r="BH45" s="15"/>
      <c r="BI45" s="18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9"/>
      <c r="BV45" s="15"/>
      <c r="BW45" s="15"/>
      <c r="BX45" s="15"/>
      <c r="BY45" s="15"/>
      <c r="BZ45" s="15"/>
      <c r="CA45" s="15"/>
      <c r="CB45" s="15"/>
      <c r="CC45" s="15"/>
      <c r="CD45" s="20"/>
    </row>
    <row r="46" spans="3:82" ht="10.5" customHeight="1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7"/>
      <c r="BB46" s="15"/>
      <c r="BC46" s="15"/>
      <c r="BD46" s="15"/>
      <c r="BE46" s="15"/>
      <c r="BF46" s="17"/>
      <c r="BG46" s="15"/>
      <c r="BH46" s="15"/>
      <c r="BI46" s="18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9"/>
      <c r="BV46" s="15"/>
      <c r="BW46" s="15"/>
      <c r="BX46" s="15"/>
      <c r="BY46" s="15"/>
      <c r="BZ46" s="15"/>
      <c r="CA46" s="15"/>
      <c r="CB46" s="15"/>
      <c r="CC46" s="15"/>
      <c r="CD46" s="20"/>
    </row>
    <row r="47" spans="3:82" ht="10.5" customHeight="1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7"/>
      <c r="BB47" s="15"/>
      <c r="BC47" s="15"/>
      <c r="BD47" s="15"/>
      <c r="BE47" s="15"/>
      <c r="BF47" s="17"/>
      <c r="BG47" s="15"/>
      <c r="BH47" s="15"/>
      <c r="BI47" s="18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9"/>
      <c r="BV47" s="15"/>
      <c r="BW47" s="15"/>
      <c r="BX47" s="15"/>
      <c r="BY47" s="15"/>
      <c r="BZ47" s="15"/>
      <c r="CA47" s="15"/>
      <c r="CB47" s="15"/>
      <c r="CC47" s="15"/>
      <c r="CD47" s="20"/>
    </row>
    <row r="48" spans="3:82" ht="10.5" customHeight="1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7"/>
      <c r="BB48" s="15"/>
      <c r="BC48" s="15"/>
      <c r="BD48" s="15"/>
      <c r="BE48" s="15"/>
      <c r="BF48" s="17"/>
      <c r="BG48" s="15"/>
      <c r="BH48" s="15"/>
      <c r="BI48" s="18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9"/>
      <c r="BV48" s="15"/>
      <c r="BW48" s="15"/>
      <c r="BX48" s="15"/>
      <c r="BY48" s="15"/>
      <c r="BZ48" s="15"/>
      <c r="CA48" s="15"/>
      <c r="CB48" s="15"/>
      <c r="CC48" s="15"/>
      <c r="CD48" s="20"/>
    </row>
    <row r="49" spans="3:82" ht="10.5" customHeight="1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7"/>
      <c r="BB49" s="15"/>
      <c r="BC49" s="15"/>
      <c r="BD49" s="15"/>
      <c r="BE49" s="15"/>
      <c r="BF49" s="17"/>
      <c r="BG49" s="15"/>
      <c r="BH49" s="15"/>
      <c r="BI49" s="18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9"/>
      <c r="BV49" s="15"/>
      <c r="BW49" s="15"/>
      <c r="BX49" s="15"/>
      <c r="BY49" s="15"/>
      <c r="BZ49" s="15"/>
      <c r="CA49" s="15"/>
      <c r="CB49" s="15"/>
      <c r="CC49" s="15"/>
      <c r="CD49" s="20"/>
    </row>
    <row r="50" spans="3:82" ht="10.5" customHeight="1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7"/>
      <c r="BB50" s="15"/>
      <c r="BC50" s="15"/>
      <c r="BD50" s="15"/>
      <c r="BE50" s="15"/>
      <c r="BF50" s="17"/>
      <c r="BG50" s="15"/>
      <c r="BH50" s="15"/>
      <c r="BI50" s="18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9"/>
      <c r="BV50" s="15"/>
      <c r="BW50" s="15"/>
      <c r="BX50" s="15"/>
      <c r="BY50" s="15"/>
      <c r="BZ50" s="15"/>
      <c r="CA50" s="15"/>
      <c r="CB50" s="15"/>
      <c r="CC50" s="15"/>
      <c r="CD50" s="20"/>
    </row>
    <row r="51" spans="3:82" ht="10.5" customHeight="1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7"/>
      <c r="BB51" s="15"/>
      <c r="BC51" s="15"/>
      <c r="BD51" s="15"/>
      <c r="BE51" s="15"/>
      <c r="BF51" s="17"/>
      <c r="BG51" s="15"/>
      <c r="BH51" s="15"/>
      <c r="BI51" s="18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9"/>
      <c r="BV51" s="15"/>
      <c r="BW51" s="15"/>
      <c r="BX51" s="15"/>
      <c r="BY51" s="15"/>
      <c r="BZ51" s="15"/>
      <c r="CA51" s="15"/>
      <c r="CB51" s="15"/>
      <c r="CC51" s="15"/>
      <c r="CD51" s="20"/>
    </row>
    <row r="52" spans="3:82" ht="10.5" customHeight="1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7"/>
      <c r="BB52" s="15"/>
      <c r="BC52" s="15"/>
      <c r="BD52" s="15"/>
      <c r="BE52" s="15"/>
      <c r="BF52" s="17"/>
      <c r="BG52" s="15"/>
      <c r="BH52" s="15"/>
      <c r="BI52" s="18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9"/>
      <c r="BV52" s="15"/>
      <c r="BW52" s="15"/>
      <c r="BX52" s="15"/>
      <c r="BY52" s="15"/>
      <c r="BZ52" s="15"/>
      <c r="CA52" s="15"/>
      <c r="CB52" s="15"/>
      <c r="CC52" s="15"/>
      <c r="CD52" s="20"/>
    </row>
    <row r="53" spans="3:82" ht="10.5" customHeight="1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7"/>
      <c r="BB53" s="15"/>
      <c r="BC53" s="15"/>
      <c r="BD53" s="15"/>
      <c r="BE53" s="15"/>
      <c r="BF53" s="17"/>
      <c r="BG53" s="15"/>
      <c r="BH53" s="15"/>
      <c r="BI53" s="18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9"/>
      <c r="BV53" s="15"/>
      <c r="BW53" s="15"/>
      <c r="BX53" s="15"/>
      <c r="BY53" s="15"/>
      <c r="BZ53" s="15"/>
      <c r="CA53" s="15"/>
      <c r="CB53" s="15"/>
      <c r="CC53" s="15"/>
      <c r="CD53" s="20"/>
    </row>
    <row r="54" spans="3:82" ht="10.5" customHeight="1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7"/>
      <c r="BB54" s="15"/>
      <c r="BC54" s="15"/>
      <c r="BD54" s="15"/>
      <c r="BE54" s="15"/>
      <c r="BF54" s="17"/>
      <c r="BG54" s="15"/>
      <c r="BH54" s="15"/>
      <c r="BI54" s="18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9"/>
      <c r="BV54" s="15"/>
      <c r="BW54" s="15"/>
      <c r="BX54" s="15"/>
      <c r="BY54" s="15"/>
      <c r="BZ54" s="15"/>
      <c r="CA54" s="15"/>
      <c r="CB54" s="15"/>
      <c r="CC54" s="15"/>
      <c r="CD54" s="20"/>
    </row>
    <row r="55" spans="3:82" ht="10.5" customHeight="1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7"/>
      <c r="BB55" s="15"/>
      <c r="BC55" s="15"/>
      <c r="BD55" s="15"/>
      <c r="BE55" s="15"/>
      <c r="BF55" s="17"/>
      <c r="BG55" s="15"/>
      <c r="BH55" s="15"/>
      <c r="BI55" s="18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9"/>
      <c r="BV55" s="15"/>
      <c r="BW55" s="15"/>
      <c r="BX55" s="15"/>
      <c r="BY55" s="15"/>
      <c r="BZ55" s="15"/>
      <c r="CA55" s="15"/>
      <c r="CB55" s="15"/>
      <c r="CC55" s="15"/>
      <c r="CD55" s="20"/>
    </row>
    <row r="56" spans="3:82" ht="10.5" customHeight="1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7"/>
      <c r="BB56" s="15"/>
      <c r="BC56" s="15"/>
      <c r="BD56" s="15"/>
      <c r="BE56" s="15"/>
      <c r="BF56" s="17"/>
      <c r="BG56" s="15"/>
      <c r="BH56" s="15"/>
      <c r="BI56" s="18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9"/>
      <c r="BV56" s="15"/>
      <c r="BW56" s="15"/>
      <c r="BX56" s="15"/>
      <c r="BY56" s="15"/>
      <c r="BZ56" s="15"/>
      <c r="CA56" s="15"/>
      <c r="CB56" s="15"/>
      <c r="CC56" s="15"/>
      <c r="CD56" s="20"/>
    </row>
    <row r="57" spans="3:82" ht="10.5" customHeight="1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7"/>
      <c r="BB57" s="15"/>
      <c r="BC57" s="15"/>
      <c r="BD57" s="15"/>
      <c r="BE57" s="15"/>
      <c r="BF57" s="17"/>
      <c r="BG57" s="15"/>
      <c r="BH57" s="15"/>
      <c r="BI57" s="18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9"/>
      <c r="BV57" s="15"/>
      <c r="BW57" s="15"/>
      <c r="BX57" s="15"/>
      <c r="BY57" s="15"/>
      <c r="BZ57" s="15"/>
      <c r="CA57" s="15"/>
      <c r="CB57" s="15"/>
      <c r="CC57" s="15"/>
      <c r="CD57" s="20"/>
    </row>
    <row r="58" spans="3:82" ht="10.5" customHeight="1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7"/>
      <c r="BB58" s="15"/>
      <c r="BC58" s="15"/>
      <c r="BD58" s="15"/>
      <c r="BE58" s="15"/>
      <c r="BF58" s="17"/>
      <c r="BG58" s="15"/>
      <c r="BH58" s="15"/>
      <c r="BI58" s="18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9"/>
      <c r="BV58" s="15"/>
      <c r="BW58" s="15"/>
      <c r="BX58" s="15"/>
      <c r="BY58" s="15"/>
      <c r="BZ58" s="15"/>
      <c r="CA58" s="15"/>
      <c r="CB58" s="15"/>
      <c r="CC58" s="15"/>
      <c r="CD58" s="20"/>
    </row>
    <row r="59" spans="3:82" ht="10.5" customHeight="1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7"/>
      <c r="BB59" s="15"/>
      <c r="BC59" s="15"/>
      <c r="BD59" s="15"/>
      <c r="BE59" s="15"/>
      <c r="BF59" s="17"/>
      <c r="BG59" s="15"/>
      <c r="BH59" s="15"/>
      <c r="BI59" s="18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9"/>
      <c r="BV59" s="15"/>
      <c r="BW59" s="15"/>
      <c r="BX59" s="15"/>
      <c r="BY59" s="15"/>
      <c r="BZ59" s="15"/>
      <c r="CA59" s="15"/>
      <c r="CB59" s="15"/>
      <c r="CC59" s="15"/>
      <c r="CD59" s="20"/>
    </row>
    <row r="60" spans="3:82" ht="10.5" customHeight="1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7"/>
      <c r="BB60" s="15"/>
      <c r="BC60" s="15"/>
      <c r="BD60" s="15"/>
      <c r="BE60" s="15"/>
      <c r="BF60" s="17"/>
      <c r="BG60" s="15"/>
      <c r="BH60" s="15"/>
      <c r="BI60" s="18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9"/>
      <c r="BV60" s="15"/>
      <c r="BW60" s="15"/>
      <c r="BX60" s="15"/>
      <c r="BY60" s="15"/>
      <c r="BZ60" s="15"/>
      <c r="CA60" s="15"/>
      <c r="CB60" s="15"/>
      <c r="CC60" s="15"/>
      <c r="CD60" s="20"/>
    </row>
    <row r="61" spans="3:82" ht="10.5" customHeight="1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7"/>
      <c r="BB61" s="15"/>
      <c r="BC61" s="15"/>
      <c r="BD61" s="15"/>
      <c r="BE61" s="15"/>
      <c r="BF61" s="17"/>
      <c r="BG61" s="15"/>
      <c r="BH61" s="15"/>
      <c r="BI61" s="18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9"/>
      <c r="BV61" s="15"/>
      <c r="BW61" s="15"/>
      <c r="BX61" s="15"/>
      <c r="BY61" s="15"/>
      <c r="BZ61" s="15"/>
      <c r="CA61" s="15"/>
      <c r="CB61" s="15"/>
      <c r="CC61" s="15"/>
      <c r="CD61" s="20"/>
    </row>
    <row r="62" spans="3:82" ht="10.5" customHeight="1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7"/>
      <c r="BB62" s="15"/>
      <c r="BC62" s="15"/>
      <c r="BD62" s="15"/>
      <c r="BE62" s="15"/>
      <c r="BF62" s="17"/>
      <c r="BG62" s="15"/>
      <c r="BH62" s="15"/>
      <c r="BI62" s="18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9"/>
      <c r="BV62" s="15"/>
      <c r="BW62" s="15"/>
      <c r="BX62" s="15"/>
      <c r="BY62" s="15"/>
      <c r="BZ62" s="15"/>
      <c r="CA62" s="15"/>
      <c r="CB62" s="15"/>
      <c r="CC62" s="15"/>
      <c r="CD62" s="20"/>
    </row>
    <row r="63" spans="3:82" ht="10.5" customHeight="1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7"/>
      <c r="BB63" s="15"/>
      <c r="BC63" s="15"/>
      <c r="BD63" s="15"/>
      <c r="BE63" s="15"/>
      <c r="BF63" s="17"/>
      <c r="BG63" s="15"/>
      <c r="BH63" s="15"/>
      <c r="BI63" s="18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9"/>
      <c r="BV63" s="15"/>
      <c r="BW63" s="15"/>
      <c r="BX63" s="15"/>
      <c r="BY63" s="15"/>
      <c r="BZ63" s="15"/>
      <c r="CA63" s="15"/>
      <c r="CB63" s="15"/>
      <c r="CC63" s="15"/>
      <c r="CD63" s="20"/>
    </row>
    <row r="64" spans="3:82" ht="10.5" customHeight="1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7"/>
      <c r="BB64" s="15"/>
      <c r="BC64" s="15"/>
      <c r="BD64" s="15"/>
      <c r="BE64" s="15"/>
      <c r="BF64" s="17"/>
      <c r="BG64" s="15"/>
      <c r="BH64" s="15"/>
      <c r="BI64" s="18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9"/>
      <c r="BV64" s="15"/>
      <c r="BW64" s="15"/>
      <c r="BX64" s="15"/>
      <c r="BY64" s="15"/>
      <c r="BZ64" s="15"/>
      <c r="CA64" s="15"/>
      <c r="CB64" s="15"/>
      <c r="CC64" s="15"/>
      <c r="CD64" s="20"/>
    </row>
    <row r="65" spans="3:82" ht="10.5" customHeight="1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7"/>
      <c r="BB65" s="15"/>
      <c r="BC65" s="15"/>
      <c r="BD65" s="15"/>
      <c r="BE65" s="15"/>
      <c r="BF65" s="17"/>
      <c r="BG65" s="15"/>
      <c r="BH65" s="15"/>
      <c r="BI65" s="18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9"/>
      <c r="BV65" s="15"/>
      <c r="BW65" s="15"/>
      <c r="BX65" s="15"/>
      <c r="BY65" s="15"/>
      <c r="BZ65" s="15"/>
      <c r="CA65" s="15"/>
      <c r="CB65" s="15"/>
      <c r="CC65" s="15"/>
      <c r="CD65" s="20"/>
    </row>
    <row r="66" spans="3:82" ht="10.5" customHeight="1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7"/>
      <c r="BB66" s="15"/>
      <c r="BC66" s="15"/>
      <c r="BD66" s="15"/>
      <c r="BE66" s="15"/>
      <c r="BF66" s="17"/>
      <c r="BG66" s="15"/>
      <c r="BH66" s="15"/>
      <c r="BI66" s="18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9"/>
      <c r="BV66" s="15"/>
      <c r="BW66" s="15"/>
      <c r="BX66" s="15"/>
      <c r="BY66" s="15"/>
      <c r="BZ66" s="15"/>
      <c r="CA66" s="15"/>
      <c r="CB66" s="15"/>
      <c r="CC66" s="15"/>
      <c r="CD66" s="20"/>
    </row>
    <row r="67" spans="3:82" ht="10.5" customHeight="1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7"/>
      <c r="BB67" s="15"/>
      <c r="BC67" s="15"/>
      <c r="BD67" s="15"/>
      <c r="BE67" s="15"/>
      <c r="BF67" s="17"/>
      <c r="BG67" s="15"/>
      <c r="BH67" s="15"/>
      <c r="BI67" s="18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9"/>
      <c r="BV67" s="15"/>
      <c r="BW67" s="15"/>
      <c r="BX67" s="15"/>
      <c r="BY67" s="15"/>
      <c r="BZ67" s="15"/>
      <c r="CA67" s="15"/>
      <c r="CB67" s="15"/>
      <c r="CC67" s="15"/>
      <c r="CD67" s="20"/>
    </row>
    <row r="68" spans="3:82" ht="10.5" customHeight="1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7"/>
      <c r="BB68" s="15"/>
      <c r="BC68" s="15"/>
      <c r="BD68" s="15"/>
      <c r="BE68" s="15"/>
      <c r="BF68" s="17"/>
      <c r="BG68" s="15"/>
      <c r="BH68" s="15"/>
      <c r="BI68" s="18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9"/>
      <c r="BV68" s="15"/>
      <c r="BW68" s="15"/>
      <c r="BX68" s="15"/>
      <c r="BY68" s="15"/>
      <c r="BZ68" s="15"/>
      <c r="CA68" s="15"/>
      <c r="CB68" s="15"/>
      <c r="CC68" s="15"/>
      <c r="CD68" s="20"/>
    </row>
    <row r="69" spans="3:82" ht="10.5" customHeight="1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7"/>
      <c r="BB69" s="15"/>
      <c r="BC69" s="15"/>
      <c r="BD69" s="15"/>
      <c r="BE69" s="15"/>
      <c r="BF69" s="17"/>
      <c r="BG69" s="15"/>
      <c r="BH69" s="15"/>
      <c r="BI69" s="18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9"/>
      <c r="BV69" s="15"/>
      <c r="BW69" s="15"/>
      <c r="BX69" s="15"/>
      <c r="BY69" s="15"/>
      <c r="BZ69" s="15"/>
      <c r="CA69" s="15"/>
      <c r="CB69" s="15"/>
      <c r="CC69" s="15"/>
      <c r="CD69" s="20"/>
    </row>
    <row r="70" spans="3:82" ht="10.5" customHeight="1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7"/>
      <c r="BB70" s="15"/>
      <c r="BC70" s="15"/>
      <c r="BD70" s="15"/>
      <c r="BE70" s="15"/>
      <c r="BF70" s="17"/>
      <c r="BG70" s="15"/>
      <c r="BH70" s="15"/>
      <c r="BI70" s="18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9"/>
      <c r="BV70" s="15"/>
      <c r="BW70" s="15"/>
      <c r="BX70" s="15"/>
      <c r="BY70" s="15"/>
      <c r="BZ70" s="15"/>
      <c r="CA70" s="15"/>
      <c r="CB70" s="15"/>
      <c r="CC70" s="15"/>
      <c r="CD70" s="20"/>
    </row>
    <row r="71" spans="3:82" ht="10.5" customHeight="1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7"/>
      <c r="BB71" s="15"/>
      <c r="BC71" s="15"/>
      <c r="BD71" s="15"/>
      <c r="BE71" s="15"/>
      <c r="BF71" s="17"/>
      <c r="BG71" s="15"/>
      <c r="BH71" s="15"/>
      <c r="BI71" s="18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9"/>
      <c r="BV71" s="15"/>
      <c r="BW71" s="15"/>
      <c r="BX71" s="15"/>
      <c r="BY71" s="15"/>
      <c r="BZ71" s="15"/>
      <c r="CA71" s="15"/>
      <c r="CB71" s="15"/>
      <c r="CC71" s="15"/>
      <c r="CD71" s="20"/>
    </row>
    <row r="72" spans="3:82" ht="10.5" customHeight="1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7"/>
      <c r="BB72" s="15"/>
      <c r="BC72" s="15"/>
      <c r="BD72" s="15"/>
      <c r="BE72" s="15"/>
      <c r="BF72" s="17"/>
      <c r="BG72" s="15"/>
      <c r="BH72" s="15"/>
      <c r="BI72" s="18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9"/>
      <c r="BV72" s="15"/>
      <c r="BW72" s="15"/>
      <c r="BX72" s="15"/>
      <c r="BY72" s="15"/>
      <c r="BZ72" s="15"/>
      <c r="CA72" s="15"/>
      <c r="CB72" s="15"/>
      <c r="CC72" s="15"/>
      <c r="CD72" s="20"/>
    </row>
    <row r="73" spans="3:82" ht="10.5" customHeight="1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7"/>
      <c r="BB73" s="15"/>
      <c r="BC73" s="15"/>
      <c r="BD73" s="15"/>
      <c r="BE73" s="15"/>
      <c r="BF73" s="17"/>
      <c r="BG73" s="15"/>
      <c r="BH73" s="15"/>
      <c r="BI73" s="18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9"/>
      <c r="BV73" s="15"/>
      <c r="BW73" s="15"/>
      <c r="BX73" s="15"/>
      <c r="BY73" s="15"/>
      <c r="BZ73" s="15"/>
      <c r="CA73" s="15"/>
      <c r="CB73" s="15"/>
      <c r="CC73" s="15"/>
      <c r="CD73" s="20"/>
    </row>
    <row r="74" spans="3:82" ht="10.5" customHeight="1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7"/>
      <c r="BB74" s="15"/>
      <c r="BC74" s="15"/>
      <c r="BD74" s="15"/>
      <c r="BE74" s="15"/>
      <c r="BF74" s="17"/>
      <c r="BG74" s="15"/>
      <c r="BH74" s="15"/>
      <c r="BI74" s="18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9"/>
      <c r="BV74" s="15"/>
      <c r="BW74" s="15"/>
      <c r="BX74" s="15"/>
      <c r="BY74" s="15"/>
      <c r="BZ74" s="15"/>
      <c r="CA74" s="15"/>
      <c r="CB74" s="15"/>
      <c r="CC74" s="15"/>
      <c r="CD74" s="20"/>
    </row>
    <row r="75" spans="3:82" ht="10.5" customHeight="1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7"/>
      <c r="BB75" s="15"/>
      <c r="BC75" s="15"/>
      <c r="BD75" s="15"/>
      <c r="BE75" s="15"/>
      <c r="BF75" s="17"/>
      <c r="BG75" s="15"/>
      <c r="BH75" s="15"/>
      <c r="BI75" s="18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9"/>
      <c r="BV75" s="15"/>
      <c r="BW75" s="15"/>
      <c r="BX75" s="15"/>
      <c r="BY75" s="15"/>
      <c r="BZ75" s="15"/>
      <c r="CA75" s="15"/>
      <c r="CB75" s="15"/>
      <c r="CC75" s="15"/>
      <c r="CD75" s="20"/>
    </row>
    <row r="76" spans="3:82" ht="10.5" customHeight="1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7"/>
      <c r="BB76" s="15"/>
      <c r="BC76" s="15"/>
      <c r="BD76" s="15"/>
      <c r="BE76" s="15"/>
      <c r="BF76" s="17"/>
      <c r="BG76" s="15"/>
      <c r="BH76" s="15"/>
      <c r="BI76" s="18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9"/>
      <c r="BV76" s="15"/>
      <c r="BW76" s="15"/>
      <c r="BX76" s="15"/>
      <c r="BY76" s="15"/>
      <c r="BZ76" s="15"/>
      <c r="CA76" s="15"/>
      <c r="CB76" s="15"/>
      <c r="CC76" s="15"/>
      <c r="CD76" s="20"/>
    </row>
    <row r="77" spans="3:82" ht="10.5" customHeight="1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7"/>
      <c r="BB77" s="15"/>
      <c r="BC77" s="15"/>
      <c r="BD77" s="15"/>
      <c r="BE77" s="15"/>
      <c r="BF77" s="17"/>
      <c r="BG77" s="15"/>
      <c r="BH77" s="15"/>
      <c r="BI77" s="18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9"/>
      <c r="BV77" s="15"/>
      <c r="BW77" s="15"/>
      <c r="BX77" s="15"/>
      <c r="BY77" s="15"/>
      <c r="BZ77" s="15"/>
      <c r="CA77" s="15"/>
      <c r="CB77" s="15"/>
      <c r="CC77" s="15"/>
      <c r="CD77" s="20"/>
    </row>
    <row r="78" spans="3:82" ht="10.5" customHeight="1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7"/>
      <c r="BB78" s="15"/>
      <c r="BC78" s="15"/>
      <c r="BD78" s="15"/>
      <c r="BE78" s="15"/>
      <c r="BF78" s="17"/>
      <c r="BG78" s="15"/>
      <c r="BH78" s="15"/>
      <c r="BI78" s="18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9"/>
      <c r="BV78" s="15"/>
      <c r="BW78" s="15"/>
      <c r="BX78" s="15"/>
      <c r="BY78" s="15"/>
      <c r="BZ78" s="15"/>
      <c r="CA78" s="15"/>
      <c r="CB78" s="15"/>
      <c r="CC78" s="15"/>
      <c r="CD78" s="20"/>
    </row>
    <row r="79" spans="3:82" ht="10.5" customHeight="1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7"/>
      <c r="BB79" s="15"/>
      <c r="BC79" s="15"/>
      <c r="BD79" s="15"/>
      <c r="BE79" s="15"/>
      <c r="BF79" s="17"/>
      <c r="BG79" s="15"/>
      <c r="BH79" s="15"/>
      <c r="BI79" s="18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9"/>
      <c r="BV79" s="15"/>
      <c r="BW79" s="15"/>
      <c r="BX79" s="15"/>
      <c r="BY79" s="15"/>
      <c r="BZ79" s="15"/>
      <c r="CA79" s="15"/>
      <c r="CB79" s="15"/>
      <c r="CC79" s="15"/>
      <c r="CD79" s="20"/>
    </row>
    <row r="80" spans="3:82" ht="10.5" customHeight="1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7"/>
      <c r="BB80" s="15"/>
      <c r="BC80" s="15"/>
      <c r="BD80" s="15"/>
      <c r="BE80" s="15"/>
      <c r="BF80" s="17"/>
      <c r="BG80" s="15"/>
      <c r="BH80" s="15"/>
      <c r="BI80" s="18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9"/>
      <c r="BV80" s="15"/>
      <c r="BW80" s="15"/>
      <c r="BX80" s="15"/>
      <c r="BY80" s="15"/>
      <c r="BZ80" s="15"/>
      <c r="CA80" s="15"/>
      <c r="CB80" s="15"/>
      <c r="CC80" s="15"/>
      <c r="CD80" s="20"/>
    </row>
    <row r="81" spans="3:82" ht="10.5" customHeight="1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7"/>
      <c r="BB81" s="15"/>
      <c r="BC81" s="15"/>
      <c r="BD81" s="15"/>
      <c r="BE81" s="15"/>
      <c r="BF81" s="17"/>
      <c r="BG81" s="15"/>
      <c r="BH81" s="15"/>
      <c r="BI81" s="18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9"/>
      <c r="BV81" s="15"/>
      <c r="BW81" s="15"/>
      <c r="BX81" s="15"/>
      <c r="BY81" s="15"/>
      <c r="BZ81" s="15"/>
      <c r="CA81" s="15"/>
      <c r="CB81" s="15"/>
      <c r="CC81" s="15"/>
      <c r="CD81" s="20"/>
    </row>
    <row r="82" spans="3:82" ht="10.5" customHeight="1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7"/>
      <c r="BB82" s="15"/>
      <c r="BC82" s="15"/>
      <c r="BD82" s="15"/>
      <c r="BE82" s="15"/>
      <c r="BF82" s="17"/>
      <c r="BG82" s="15"/>
      <c r="BH82" s="15"/>
      <c r="BI82" s="18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9"/>
      <c r="BV82" s="15"/>
      <c r="BW82" s="15"/>
      <c r="BX82" s="15"/>
      <c r="BY82" s="15"/>
      <c r="BZ82" s="15"/>
      <c r="CA82" s="15"/>
      <c r="CB82" s="15"/>
      <c r="CC82" s="15"/>
      <c r="CD82" s="20"/>
    </row>
    <row r="83" spans="3:82" ht="10.5" customHeight="1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7"/>
      <c r="BB83" s="15"/>
      <c r="BC83" s="15"/>
      <c r="BD83" s="15"/>
      <c r="BE83" s="15"/>
      <c r="BF83" s="17"/>
      <c r="BG83" s="15"/>
      <c r="BH83" s="15"/>
      <c r="BI83" s="18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9"/>
      <c r="BV83" s="15"/>
      <c r="BW83" s="15"/>
      <c r="BX83" s="15"/>
      <c r="BY83" s="15"/>
      <c r="BZ83" s="15"/>
      <c r="CA83" s="15"/>
      <c r="CB83" s="15"/>
      <c r="CC83" s="15"/>
      <c r="CD83" s="20"/>
    </row>
    <row r="84" spans="3:82" ht="10.5" customHeight="1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7"/>
      <c r="BB84" s="15"/>
      <c r="BC84" s="15"/>
      <c r="BD84" s="15"/>
      <c r="BE84" s="15"/>
      <c r="BF84" s="17"/>
      <c r="BG84" s="15"/>
      <c r="BH84" s="15"/>
      <c r="BI84" s="18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9"/>
      <c r="BV84" s="15"/>
      <c r="BW84" s="15"/>
      <c r="BX84" s="15"/>
      <c r="BY84" s="15"/>
      <c r="BZ84" s="15"/>
      <c r="CA84" s="15"/>
      <c r="CB84" s="15"/>
      <c r="CC84" s="15"/>
      <c r="CD84" s="20"/>
    </row>
    <row r="85" spans="3:82" ht="10.5" customHeight="1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7"/>
      <c r="BB85" s="15"/>
      <c r="BC85" s="15"/>
      <c r="BD85" s="15"/>
      <c r="BE85" s="15"/>
      <c r="BF85" s="17"/>
      <c r="BG85" s="15"/>
      <c r="BH85" s="15"/>
      <c r="BI85" s="18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9"/>
      <c r="BV85" s="15"/>
      <c r="BW85" s="15"/>
      <c r="BX85" s="15"/>
      <c r="BY85" s="15"/>
      <c r="BZ85" s="15"/>
      <c r="CA85" s="15"/>
      <c r="CB85" s="15"/>
      <c r="CC85" s="15"/>
      <c r="CD85" s="20"/>
    </row>
    <row r="86" spans="3:82" ht="10.5" customHeight="1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7"/>
      <c r="BB86" s="15"/>
      <c r="BC86" s="15"/>
      <c r="BD86" s="15"/>
      <c r="BE86" s="15"/>
      <c r="BF86" s="17"/>
      <c r="BG86" s="15"/>
      <c r="BH86" s="15"/>
      <c r="BI86" s="18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9"/>
      <c r="BV86" s="15"/>
      <c r="BW86" s="15"/>
      <c r="BX86" s="15"/>
      <c r="BY86" s="15"/>
      <c r="BZ86" s="15"/>
      <c r="CA86" s="15"/>
      <c r="CB86" s="15"/>
      <c r="CC86" s="15"/>
      <c r="CD86" s="20"/>
    </row>
    <row r="87" spans="3:82" ht="10.5" customHeight="1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7"/>
      <c r="BB87" s="15"/>
      <c r="BC87" s="15"/>
      <c r="BD87" s="15"/>
      <c r="BE87" s="15"/>
      <c r="BF87" s="17"/>
      <c r="BG87" s="15"/>
      <c r="BH87" s="15"/>
      <c r="BI87" s="18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9"/>
      <c r="BV87" s="15"/>
      <c r="BW87" s="15"/>
      <c r="BX87" s="15"/>
      <c r="BY87" s="15"/>
      <c r="BZ87" s="15"/>
      <c r="CA87" s="15"/>
      <c r="CB87" s="15"/>
      <c r="CC87" s="15"/>
      <c r="CD87" s="20"/>
    </row>
    <row r="88" spans="3:82" ht="10.5" customHeight="1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7"/>
      <c r="BB88" s="15"/>
      <c r="BC88" s="15"/>
      <c r="BD88" s="15"/>
      <c r="BE88" s="15"/>
      <c r="BF88" s="17"/>
      <c r="BG88" s="15"/>
      <c r="BH88" s="15"/>
      <c r="BI88" s="18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9"/>
      <c r="BV88" s="15"/>
      <c r="BW88" s="15"/>
      <c r="BX88" s="15"/>
      <c r="BY88" s="15"/>
      <c r="BZ88" s="15"/>
      <c r="CA88" s="15"/>
      <c r="CB88" s="15"/>
      <c r="CC88" s="15"/>
      <c r="CD88" s="20"/>
    </row>
    <row r="89" spans="3:82" ht="10.5" customHeight="1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7"/>
      <c r="BB89" s="15"/>
      <c r="BC89" s="15"/>
      <c r="BD89" s="15"/>
      <c r="BE89" s="15"/>
      <c r="BF89" s="17"/>
      <c r="BG89" s="15"/>
      <c r="BH89" s="15"/>
      <c r="BI89" s="18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9"/>
      <c r="BV89" s="15"/>
      <c r="BW89" s="15"/>
      <c r="BX89" s="15"/>
      <c r="BY89" s="15"/>
      <c r="BZ89" s="15"/>
      <c r="CA89" s="15"/>
      <c r="CB89" s="15"/>
      <c r="CC89" s="15"/>
      <c r="CD89" s="20"/>
    </row>
    <row r="90" spans="3:82" ht="10.5" customHeight="1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7"/>
      <c r="BB90" s="15"/>
      <c r="BC90" s="15"/>
      <c r="BD90" s="15"/>
      <c r="BE90" s="15"/>
      <c r="BF90" s="17"/>
      <c r="BG90" s="15"/>
      <c r="BH90" s="15"/>
      <c r="BI90" s="18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9"/>
      <c r="BV90" s="15"/>
      <c r="BW90" s="15"/>
      <c r="BX90" s="15"/>
      <c r="BY90" s="15"/>
      <c r="BZ90" s="15"/>
      <c r="CA90" s="15"/>
      <c r="CB90" s="15"/>
      <c r="CC90" s="15"/>
      <c r="CD90" s="20"/>
    </row>
    <row r="91" spans="3:82" ht="10.5" customHeight="1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7"/>
      <c r="BB91" s="15"/>
      <c r="BC91" s="15"/>
      <c r="BD91" s="15"/>
      <c r="BE91" s="15"/>
      <c r="BF91" s="17"/>
      <c r="BG91" s="15"/>
      <c r="BH91" s="15"/>
      <c r="BI91" s="18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9"/>
      <c r="BV91" s="15"/>
      <c r="BW91" s="15"/>
      <c r="BX91" s="15"/>
      <c r="BY91" s="15"/>
      <c r="BZ91" s="15"/>
      <c r="CA91" s="15"/>
      <c r="CB91" s="15"/>
      <c r="CC91" s="15"/>
      <c r="CD91" s="20"/>
    </row>
    <row r="92" spans="3:82" ht="10.5" customHeight="1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7"/>
      <c r="BB92" s="15"/>
      <c r="BC92" s="15"/>
      <c r="BD92" s="15"/>
      <c r="BE92" s="15"/>
      <c r="BF92" s="17"/>
      <c r="BG92" s="15"/>
      <c r="BH92" s="15"/>
      <c r="BI92" s="18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9"/>
      <c r="BV92" s="15"/>
      <c r="BW92" s="15"/>
      <c r="BX92" s="15"/>
      <c r="BY92" s="15"/>
      <c r="BZ92" s="15"/>
      <c r="CA92" s="15"/>
      <c r="CB92" s="15"/>
      <c r="CC92" s="15"/>
      <c r="CD92" s="20"/>
    </row>
    <row r="93" spans="3:82" ht="10.5" customHeight="1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7"/>
      <c r="BB93" s="15"/>
      <c r="BC93" s="15"/>
      <c r="BD93" s="15"/>
      <c r="BE93" s="15"/>
      <c r="BF93" s="17"/>
      <c r="BG93" s="15"/>
      <c r="BH93" s="15"/>
      <c r="BI93" s="18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9"/>
      <c r="BV93" s="15"/>
      <c r="BW93" s="15"/>
      <c r="BX93" s="15"/>
      <c r="BY93" s="15"/>
      <c r="BZ93" s="15"/>
      <c r="CA93" s="15"/>
      <c r="CB93" s="15"/>
      <c r="CC93" s="15"/>
      <c r="CD93" s="20"/>
    </row>
    <row r="94" spans="3:82" ht="10.5" customHeight="1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7"/>
      <c r="BB94" s="15"/>
      <c r="BC94" s="15"/>
      <c r="BD94" s="15"/>
      <c r="BE94" s="15"/>
      <c r="BF94" s="17"/>
      <c r="BG94" s="15"/>
      <c r="BH94" s="15"/>
      <c r="BI94" s="18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9"/>
      <c r="BV94" s="15"/>
      <c r="BW94" s="15"/>
      <c r="BX94" s="15"/>
      <c r="BY94" s="15"/>
      <c r="BZ94" s="15"/>
      <c r="CA94" s="15"/>
      <c r="CB94" s="15"/>
      <c r="CC94" s="15"/>
      <c r="CD94" s="20"/>
    </row>
    <row r="95" spans="3:82" ht="10.5" customHeight="1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7"/>
      <c r="BB95" s="15"/>
      <c r="BC95" s="15"/>
      <c r="BD95" s="15"/>
      <c r="BE95" s="15"/>
      <c r="BF95" s="17"/>
      <c r="BG95" s="15"/>
      <c r="BH95" s="15"/>
      <c r="BI95" s="18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9"/>
      <c r="BV95" s="15"/>
      <c r="BW95" s="15"/>
      <c r="BX95" s="15"/>
      <c r="BY95" s="15"/>
      <c r="BZ95" s="15"/>
      <c r="CA95" s="15"/>
      <c r="CB95" s="15"/>
      <c r="CC95" s="15"/>
      <c r="CD95" s="20"/>
    </row>
    <row r="96" spans="3:82" ht="10.5" customHeight="1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7"/>
      <c r="BB96" s="15"/>
      <c r="BC96" s="15"/>
      <c r="BD96" s="15"/>
      <c r="BE96" s="15"/>
      <c r="BF96" s="17"/>
      <c r="BG96" s="15"/>
      <c r="BH96" s="15"/>
      <c r="BI96" s="18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9"/>
      <c r="BV96" s="15"/>
      <c r="BW96" s="15"/>
      <c r="BX96" s="15"/>
      <c r="BY96" s="15"/>
      <c r="BZ96" s="15"/>
      <c r="CA96" s="15"/>
      <c r="CB96" s="15"/>
      <c r="CC96" s="15"/>
      <c r="CD96" s="20"/>
    </row>
    <row r="97" spans="3:82" ht="10.5" customHeight="1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7"/>
      <c r="BB97" s="15"/>
      <c r="BC97" s="15"/>
      <c r="BD97" s="15"/>
      <c r="BE97" s="15"/>
      <c r="BF97" s="17"/>
      <c r="BG97" s="15"/>
      <c r="BH97" s="15"/>
      <c r="BI97" s="18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9"/>
      <c r="BV97" s="15"/>
      <c r="BW97" s="15"/>
      <c r="BX97" s="15"/>
      <c r="BY97" s="15"/>
      <c r="BZ97" s="15"/>
      <c r="CA97" s="15"/>
      <c r="CB97" s="15"/>
      <c r="CC97" s="15"/>
      <c r="CD97" s="20"/>
    </row>
    <row r="98" spans="3:82" ht="10.5" customHeight="1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7"/>
      <c r="BB98" s="15"/>
      <c r="BC98" s="15"/>
      <c r="BD98" s="15"/>
      <c r="BE98" s="15"/>
      <c r="BF98" s="17"/>
      <c r="BG98" s="15"/>
      <c r="BH98" s="15"/>
      <c r="BI98" s="18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9"/>
      <c r="BV98" s="15"/>
      <c r="BW98" s="15"/>
      <c r="BX98" s="15"/>
      <c r="BY98" s="15"/>
      <c r="BZ98" s="15"/>
      <c r="CA98" s="15"/>
      <c r="CB98" s="15"/>
      <c r="CC98" s="15"/>
      <c r="CD98" s="20"/>
    </row>
    <row r="99" spans="3:82" ht="10.5" customHeight="1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7"/>
      <c r="BB99" s="15"/>
      <c r="BC99" s="15"/>
      <c r="BD99" s="15"/>
      <c r="BE99" s="15"/>
      <c r="BF99" s="17"/>
      <c r="BG99" s="15"/>
      <c r="BH99" s="15"/>
      <c r="BI99" s="18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9"/>
      <c r="BV99" s="15"/>
      <c r="BW99" s="15"/>
      <c r="BX99" s="15"/>
      <c r="BY99" s="15"/>
      <c r="BZ99" s="15"/>
      <c r="CA99" s="15"/>
      <c r="CB99" s="15"/>
      <c r="CC99" s="15"/>
      <c r="CD99" s="20"/>
    </row>
    <row r="100" spans="3:82" ht="10.5" customHeight="1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7"/>
      <c r="BB100" s="15"/>
      <c r="BC100" s="15"/>
      <c r="BD100" s="15"/>
      <c r="BE100" s="15"/>
      <c r="BF100" s="17"/>
      <c r="BG100" s="15"/>
      <c r="BH100" s="15"/>
      <c r="BI100" s="18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9"/>
      <c r="BV100" s="15"/>
      <c r="BW100" s="15"/>
      <c r="BX100" s="15"/>
      <c r="BY100" s="15"/>
      <c r="BZ100" s="15"/>
      <c r="CA100" s="15"/>
      <c r="CB100" s="15"/>
      <c r="CC100" s="15"/>
      <c r="CD100" s="20"/>
    </row>
  </sheetData>
  <autoFilter ref="C4:BV8" xr:uid="{00000000-0009-0000-0000-000001000000}"/>
  <mergeCells count="1">
    <mergeCell ref="BX3:CB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H7" sqref="H7"/>
    </sheetView>
  </sheetViews>
  <sheetFormatPr baseColWidth="10" defaultColWidth="14.44140625" defaultRowHeight="15" customHeight="1"/>
  <cols>
    <col min="3" max="3" width="13.109375" customWidth="1"/>
    <col min="4" max="4" width="8.33203125" customWidth="1"/>
    <col min="5" max="5" width="12.33203125" customWidth="1"/>
    <col min="6" max="6" width="15.109375" customWidth="1"/>
    <col min="7" max="7" width="11.109375" customWidth="1"/>
    <col min="8" max="8" width="15.5546875" customWidth="1"/>
    <col min="9" max="9" width="11.33203125" customWidth="1"/>
    <col min="10" max="10" width="10.5546875" customWidth="1"/>
    <col min="11" max="11" width="15.33203125" customWidth="1"/>
    <col min="12" max="12" width="15" customWidth="1"/>
    <col min="13" max="13" width="10.5546875" customWidth="1"/>
    <col min="14" max="14" width="16.109375" customWidth="1"/>
    <col min="15" max="15" width="10" customWidth="1"/>
    <col min="16" max="16" width="12.33203125" customWidth="1"/>
    <col min="17" max="17" width="11" customWidth="1"/>
    <col min="18" max="18" width="11.88671875" customWidth="1"/>
    <col min="19" max="20" width="10.5546875" customWidth="1"/>
    <col min="21" max="21" width="21.88671875" customWidth="1"/>
    <col min="22" max="22" width="5.109375" customWidth="1"/>
    <col min="23" max="31" width="4.88671875" customWidth="1"/>
    <col min="32" max="32" width="5.6640625" customWidth="1"/>
    <col min="33" max="33" width="15.33203125" customWidth="1"/>
    <col min="34" max="34" width="10.44140625" customWidth="1"/>
    <col min="35" max="35" width="12" customWidth="1"/>
    <col min="36" max="36" width="11.6640625" customWidth="1"/>
    <col min="37" max="37" width="11.33203125" customWidth="1"/>
    <col min="38" max="39" width="11.6640625" customWidth="1"/>
    <col min="40" max="40" width="11.33203125" customWidth="1"/>
  </cols>
  <sheetData>
    <row r="1" spans="1:40" ht="10.5" customHeight="1">
      <c r="A1" t="s">
        <v>142</v>
      </c>
      <c r="B1" t="s">
        <v>143</v>
      </c>
      <c r="C1" s="1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5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0.5" customHeight="1">
      <c r="A2">
        <v>2020</v>
      </c>
      <c r="C2" s="8" t="s">
        <v>18</v>
      </c>
      <c r="D2" s="8" t="s">
        <v>19</v>
      </c>
      <c r="E2" s="8" t="str">
        <f>VLOOKUP(D:D,BDD!D:E,2,0)</f>
        <v>XXXXXXXXXXX</v>
      </c>
      <c r="F2" s="9">
        <f>VLOOKUP(D:D,BDD!D:R,15,0)</f>
        <v>2</v>
      </c>
      <c r="G2" s="10" t="e">
        <f ca="1">VLOOKUP(D:D,BDD!D:AU,44,0)</f>
        <v>#N/A</v>
      </c>
      <c r="H2" s="11" t="e">
        <f t="shared" ref="H2:H5" ca="1" si="0">IF(G2&gt;=6000,6000,G2)</f>
        <v>#N/A</v>
      </c>
      <c r="I2" s="11" t="e">
        <f t="shared" ref="I2:I5" ca="1" si="1">IF(G2*20%&lt;=2500,G2*20%,2500)</f>
        <v>#N/A</v>
      </c>
      <c r="J2" s="10" t="e">
        <f ca="1">VLOOKUP(D:D,BDD!D:BB,51,0)</f>
        <v>#N/A</v>
      </c>
      <c r="K2" s="12" t="e">
        <f ca="1">VLOOKUP(D:D,BDD!D:BC,52,0)</f>
        <v>#N/A</v>
      </c>
      <c r="L2" s="10" t="e">
        <f ca="1">VLOOKUP(D:D,BDD!D:BD,53,0)</f>
        <v>#N/A</v>
      </c>
      <c r="M2" s="12" t="e">
        <f t="shared" ref="M2:M5" ca="1" si="2">G2-I2-J2-K2-L2</f>
        <v>#N/A</v>
      </c>
      <c r="N2" s="12" t="e">
        <f t="shared" ref="N2:N5" ca="1" si="3">M2</f>
        <v>#N/A</v>
      </c>
      <c r="O2" s="13" t="s">
        <v>141</v>
      </c>
      <c r="P2" s="12" t="b">
        <f t="shared" ref="P2:P5" si="4">IF(O2=0%,0,(IF(O2=10%,250,(IF(O2=20%,666.67,(IF(O2=30%,1166.67,(IF(O2=34%,1433.33,(IF(O2=38%,2033.33)))))))))))</f>
        <v>0</v>
      </c>
      <c r="Q2" s="14">
        <f t="shared" ref="Q2:Q5" si="5">30*F2</f>
        <v>60</v>
      </c>
      <c r="R2" s="12" t="e">
        <f t="shared" ref="R2:R5" ca="1" si="6">+(N2*O2)-P2</f>
        <v>#N/A</v>
      </c>
      <c r="S2" s="12" t="e">
        <f t="shared" ref="S2:S5" ca="1" si="7">+R2-Q2</f>
        <v>#N/A</v>
      </c>
      <c r="T2" s="12" t="e">
        <f t="shared" ref="T2:T5" ca="1" si="8">+IF(S2&gt;=0,S2,0)</f>
        <v>#N/A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0.5" customHeight="1">
      <c r="C3" s="8" t="s">
        <v>20</v>
      </c>
      <c r="D3" s="8" t="s">
        <v>21</v>
      </c>
      <c r="E3" s="8" t="str">
        <f>VLOOKUP(D:D,BDD!D:E,2,0)</f>
        <v>XXXXXXXXXXX</v>
      </c>
      <c r="F3" s="9">
        <f>VLOOKUP(D:D,BDD!D:R,15,0)</f>
        <v>0</v>
      </c>
      <c r="G3" s="10">
        <f ca="1">VLOOKUP(D:D,BDD!D:AU,44,0)</f>
        <v>4400</v>
      </c>
      <c r="H3" s="11">
        <f t="shared" ca="1" si="0"/>
        <v>4400</v>
      </c>
      <c r="I3" s="11">
        <f t="shared" ca="1" si="1"/>
        <v>880</v>
      </c>
      <c r="J3" s="10">
        <f ca="1">VLOOKUP(D:D,BDD!D:BB,51,0)</f>
        <v>183.74400000000003</v>
      </c>
      <c r="K3" s="12">
        <f ca="1">VLOOKUP(D:D,BDD!D:BC,52,0)</f>
        <v>197.12000000000003</v>
      </c>
      <c r="L3" s="10">
        <f ca="1">VLOOKUP(D:D,BDD!D:BD,53,0)</f>
        <v>264</v>
      </c>
      <c r="M3" s="12">
        <f t="shared" ca="1" si="2"/>
        <v>2875.136</v>
      </c>
      <c r="N3" s="12">
        <f t="shared" ca="1" si="3"/>
        <v>2875.136</v>
      </c>
      <c r="O3" s="13" t="s">
        <v>141</v>
      </c>
      <c r="P3" s="12" t="b">
        <f t="shared" si="4"/>
        <v>0</v>
      </c>
      <c r="Q3" s="14">
        <f t="shared" si="5"/>
        <v>0</v>
      </c>
      <c r="R3" s="12" t="e">
        <f t="shared" ca="1" si="6"/>
        <v>#VALUE!</v>
      </c>
      <c r="S3" s="12" t="e">
        <f t="shared" ca="1" si="7"/>
        <v>#VALUE!</v>
      </c>
      <c r="T3" s="12" t="e">
        <f t="shared" ca="1" si="8"/>
        <v>#VALUE!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0.5" customHeight="1">
      <c r="C4" s="8" t="s">
        <v>22</v>
      </c>
      <c r="D4" s="8" t="s">
        <v>23</v>
      </c>
      <c r="E4" s="8" t="str">
        <f>VLOOKUP(D:D,BDD!D:E,2,0)</f>
        <v>XXXXXXXXXXX</v>
      </c>
      <c r="F4" s="9">
        <f>VLOOKUP(D:D,BDD!D:R,15,0)</f>
        <v>4</v>
      </c>
      <c r="G4" s="10">
        <f ca="1">VLOOKUP(D:D,BDD!D:AU,44,0)</f>
        <v>8570</v>
      </c>
      <c r="H4" s="11">
        <f t="shared" ca="1" si="0"/>
        <v>6000</v>
      </c>
      <c r="I4" s="11">
        <f t="shared" ca="1" si="1"/>
        <v>1714</v>
      </c>
      <c r="J4" s="10">
        <f ca="1">VLOOKUP(D:D,BDD!D:BB,51,0)</f>
        <v>347.94199999999995</v>
      </c>
      <c r="K4" s="12">
        <f ca="1">VLOOKUP(D:D,BDD!D:BC,52,0)</f>
        <v>268.8</v>
      </c>
      <c r="L4" s="10">
        <f ca="1">VLOOKUP(D:D,BDD!D:BD,53,0)</f>
        <v>514.19999999999993</v>
      </c>
      <c r="M4" s="12">
        <f t="shared" ca="1" si="2"/>
        <v>5725.058</v>
      </c>
      <c r="N4" s="12">
        <f t="shared" ca="1" si="3"/>
        <v>5725.058</v>
      </c>
      <c r="O4" s="13" t="s">
        <v>141</v>
      </c>
      <c r="P4" s="12" t="b">
        <f t="shared" si="4"/>
        <v>0</v>
      </c>
      <c r="Q4" s="14">
        <f t="shared" si="5"/>
        <v>120</v>
      </c>
      <c r="R4" s="12" t="e">
        <f t="shared" ca="1" si="6"/>
        <v>#VALUE!</v>
      </c>
      <c r="S4" s="12" t="e">
        <f t="shared" ca="1" si="7"/>
        <v>#VALUE!</v>
      </c>
      <c r="T4" s="12" t="e">
        <f t="shared" ca="1" si="8"/>
        <v>#VALUE!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0.5" customHeight="1">
      <c r="C5" s="8" t="s">
        <v>24</v>
      </c>
      <c r="D5" s="8" t="s">
        <v>25</v>
      </c>
      <c r="E5" s="8" t="str">
        <f>VLOOKUP(D:D,BDD!D:E,2,0)</f>
        <v>XXXXXXXXXXX</v>
      </c>
      <c r="F5" s="9">
        <f>VLOOKUP(D:D,BDD!D:R,15,0)</f>
        <v>0</v>
      </c>
      <c r="G5" s="10">
        <f ca="1">VLOOKUP(D:D,BDD!D:AU,44,0)</f>
        <v>4000</v>
      </c>
      <c r="H5" s="11">
        <f t="shared" ca="1" si="0"/>
        <v>4000</v>
      </c>
      <c r="I5" s="11">
        <f t="shared" ca="1" si="1"/>
        <v>800</v>
      </c>
      <c r="J5" s="10">
        <f ca="1">VLOOKUP(D:D,BDD!D:BB,51,0)</f>
        <v>200</v>
      </c>
      <c r="K5" s="12">
        <f ca="1">VLOOKUP(D:D,BDD!D:BC,52,0)</f>
        <v>179.20000000000002</v>
      </c>
      <c r="L5" s="10">
        <f ca="1">VLOOKUP(D:D,BDD!D:BD,53,0)</f>
        <v>240</v>
      </c>
      <c r="M5" s="12">
        <f t="shared" ca="1" si="2"/>
        <v>2580.8000000000002</v>
      </c>
      <c r="N5" s="12">
        <f t="shared" ca="1" si="3"/>
        <v>2580.8000000000002</v>
      </c>
      <c r="O5" s="13" t="s">
        <v>141</v>
      </c>
      <c r="P5" s="12" t="b">
        <f t="shared" si="4"/>
        <v>0</v>
      </c>
      <c r="Q5" s="14">
        <f t="shared" si="5"/>
        <v>0</v>
      </c>
      <c r="R5" s="12" t="e">
        <f t="shared" ca="1" si="6"/>
        <v>#VALUE!</v>
      </c>
      <c r="S5" s="12" t="e">
        <f t="shared" ca="1" si="7"/>
        <v>#VALUE!</v>
      </c>
      <c r="T5" s="12" t="e">
        <f t="shared" ca="1" si="8"/>
        <v>#VALUE!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0.5" customHeight="1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0.5" customHeight="1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0.5" customHeight="1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0" ht="10.5" customHeight="1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ht="10.5" customHeight="1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0.5" customHeight="1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0.5" customHeight="1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0.5" customHeight="1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0.5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0.5" customHeight="1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0.5" customHeight="1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3:40" ht="10.5" customHeight="1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3:40" ht="10.5" customHeight="1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3:40" ht="10.5" customHeight="1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3:40" ht="10.5" customHeight="1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3:40" ht="10.5" customHeight="1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3:40" ht="10.5" customHeight="1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3:40" ht="10.5" customHeight="1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3:40" ht="10.5" customHeight="1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3:40" ht="10.5" customHeight="1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3:40" ht="10.5" customHeight="1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3:40" ht="10.5" customHeight="1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spans="3:40" ht="10.5" customHeight="1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3:40" ht="10.5" customHeight="1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3:40" ht="10.5" customHeight="1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3:40" ht="10.5" customHeight="1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3:40" ht="10.5" customHeight="1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3:40" ht="10.5" customHeight="1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3:40" ht="10.5" customHeight="1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3:40" ht="10.5" customHeight="1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3:40" ht="10.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3:40" ht="10.5" customHeight="1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6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3:40" ht="10.5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3:40" ht="10.5" customHeight="1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3:40" ht="10.5" customHeight="1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3:40" ht="10.5" customHeight="1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6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3:40" ht="10.5" customHeight="1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3:40" ht="10.5" customHeight="1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6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3:40" ht="10.5" customHeight="1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3:40" ht="10.5" customHeight="1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3:40" ht="10.5" customHeight="1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3:40" ht="10.5" customHeight="1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3:40" ht="10.5" customHeight="1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3:40" ht="10.5" customHeight="1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3:40" ht="10.5" customHeight="1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6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3:40" ht="10.5" customHeight="1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3:40" ht="10.5" customHeight="1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6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3:40" ht="10.5" customHeight="1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3:40" ht="10.5" customHeight="1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6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3:40" ht="10.5" customHeight="1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3:40" ht="10.5" customHeight="1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3:40" ht="10.5" customHeight="1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spans="3:40" ht="10.5" customHeight="1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6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spans="3:40" ht="10.5" customHeight="1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3:40" ht="10.5" customHeight="1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3:40" ht="10.5" customHeight="1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3:40" ht="10.5" customHeight="1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3:40" ht="10.5" customHeight="1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3:40" ht="10.5" customHeight="1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3:40" ht="10.5" customHeight="1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3:40" ht="10.5" customHeight="1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3:40" ht="10.5" customHeight="1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3:40" ht="10.5" customHeight="1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3:40" ht="10.5" customHeight="1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3:40" ht="10.5" customHeight="1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6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3:40" ht="10.5" customHeight="1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3:40" ht="10.5" customHeight="1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3:40" ht="10.5" customHeight="1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3:40" ht="10.5" customHeight="1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3:40" ht="10.5" customHeight="1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3:40" ht="10.5" customHeight="1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3:40" ht="10.5" customHeight="1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3:40" ht="10.5" customHeight="1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3:40" ht="10.5" customHeight="1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3:40" ht="10.5" customHeight="1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spans="3:40" ht="10.5" customHeight="1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spans="3:40" ht="10.5" customHeight="1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spans="3:40" ht="10.5" customHeight="1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6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spans="3:40" ht="10.5" customHeight="1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spans="3:40" ht="10.5" customHeight="1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6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spans="3:40" ht="10.5" customHeight="1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6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spans="3:40" ht="10.5" customHeight="1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3:40" ht="10.5" customHeight="1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3:40" ht="10.5" customHeight="1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6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spans="3:40" ht="10.5" customHeight="1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spans="3:40" ht="10.5" customHeight="1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6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spans="3:40" ht="10.5" customHeight="1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6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3:40" ht="10.5" customHeight="1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3:40" ht="10.5" customHeight="1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3:40" ht="10.5" customHeight="1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6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3:40" ht="10.5" customHeight="1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3:40" ht="10.5" customHeight="1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3:40" ht="10.5" customHeight="1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3:40" ht="10.5" customHeight="1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3:40" ht="10.5" customHeight="1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</sheetData>
  <autoFilter ref="C1:T5" xr:uid="{00000000-0009-0000-0000-000000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"/>
  <sheetViews>
    <sheetView workbookViewId="0"/>
  </sheetViews>
  <sheetFormatPr baseColWidth="10" defaultColWidth="14.44140625" defaultRowHeight="15" customHeight="1"/>
  <cols>
    <col min="1" max="11" width="10.6640625" customWidth="1"/>
  </cols>
  <sheetData>
    <row r="1" spans="2:5" ht="14.25" customHeight="1"/>
    <row r="2" spans="2:5" ht="14.25" customHeight="1"/>
    <row r="3" spans="2:5" ht="14.25" customHeight="1"/>
    <row r="4" spans="2:5" ht="14.25" customHeight="1">
      <c r="B4" s="55" t="s">
        <v>138</v>
      </c>
      <c r="C4" s="56"/>
      <c r="D4" s="49" t="s">
        <v>139</v>
      </c>
      <c r="E4" s="49" t="s">
        <v>140</v>
      </c>
    </row>
    <row r="5" spans="2:5" ht="14.25" customHeight="1">
      <c r="B5" s="50">
        <v>0</v>
      </c>
      <c r="C5" s="50">
        <v>2500</v>
      </c>
      <c r="D5" s="51">
        <v>0</v>
      </c>
      <c r="E5" s="50">
        <v>0</v>
      </c>
    </row>
    <row r="6" spans="2:5" ht="14.25" customHeight="1">
      <c r="B6" s="50">
        <v>2501</v>
      </c>
      <c r="C6" s="50">
        <v>4166.666666666667</v>
      </c>
      <c r="D6" s="51">
        <v>0.1</v>
      </c>
      <c r="E6" s="50">
        <v>250</v>
      </c>
    </row>
    <row r="7" spans="2:5" ht="14.25" customHeight="1">
      <c r="B7" s="50">
        <v>4167</v>
      </c>
      <c r="C7" s="50">
        <v>5000</v>
      </c>
      <c r="D7" s="51">
        <v>0.2</v>
      </c>
      <c r="E7" s="50">
        <v>666.66666666666663</v>
      </c>
    </row>
    <row r="8" spans="2:5" ht="14.25" customHeight="1">
      <c r="B8" s="50">
        <v>5001</v>
      </c>
      <c r="C8" s="50">
        <v>6666.666666666667</v>
      </c>
      <c r="D8" s="51">
        <v>0.3</v>
      </c>
      <c r="E8" s="50">
        <v>1166.6666666666667</v>
      </c>
    </row>
    <row r="9" spans="2:5" ht="14.25" customHeight="1">
      <c r="B9" s="50">
        <v>6667</v>
      </c>
      <c r="C9" s="50">
        <v>15000</v>
      </c>
      <c r="D9" s="51">
        <v>0.34</v>
      </c>
      <c r="E9" s="50">
        <v>1433.3333333333333</v>
      </c>
    </row>
    <row r="10" spans="2:5" ht="14.25" customHeight="1">
      <c r="B10" s="50">
        <v>15001</v>
      </c>
      <c r="C10" s="50">
        <v>16666.666666666668</v>
      </c>
      <c r="D10" s="51">
        <v>0.38</v>
      </c>
      <c r="E10" s="50">
        <v>2033.3333333333333</v>
      </c>
    </row>
    <row r="11" spans="2:5" ht="14.25" customHeight="1"/>
    <row r="12" spans="2:5" ht="14.25" customHeight="1"/>
    <row r="13" spans="2:5" ht="14.25" customHeight="1"/>
    <row r="14" spans="2:5" ht="14.25" customHeight="1"/>
    <row r="15" spans="2:5" ht="14.25" customHeight="1"/>
    <row r="16" spans="2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B4:C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</vt:lpstr>
      <vt:lpstr>IR </vt:lpstr>
      <vt:lpstr>BAREM 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EL FAHIM</dc:creator>
  <cp:lastModifiedBy>YOUNESS</cp:lastModifiedBy>
  <dcterms:created xsi:type="dcterms:W3CDTF">2021-03-23T16:54:56Z</dcterms:created>
  <dcterms:modified xsi:type="dcterms:W3CDTF">2022-02-16T16:20:00Z</dcterms:modified>
</cp:coreProperties>
</file>